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67\วันเพจลงเว็บ\"/>
    </mc:Choice>
  </mc:AlternateContent>
  <xr:revisionPtr revIDLastSave="0" documentId="8_{D7EB575C-DF2D-4712-B534-C76E326AD86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สผส-ก" sheetId="3" r:id="rId1"/>
    <sheet name="สผส-จ " sheetId="7" r:id="rId2"/>
    <sheet name="สผส-ป เงินกัน " sheetId="6" r:id="rId3"/>
  </sheets>
  <externalReferences>
    <externalReference r:id="rId4"/>
    <externalReference r:id="rId5"/>
    <externalReference r:id="rId6"/>
    <externalReference r:id="rId7"/>
  </externalReferences>
  <definedNames>
    <definedName name="_ddd1" localSheetId="1">#REF!</definedName>
    <definedName name="_ddd1">#REF!</definedName>
    <definedName name="_ddd10" localSheetId="1">#REF!</definedName>
    <definedName name="_ddd10">#REF!</definedName>
    <definedName name="_ddd11" localSheetId="1">#REF!</definedName>
    <definedName name="_ddd11">#REF!</definedName>
    <definedName name="_ddd12" localSheetId="1">#REF!</definedName>
    <definedName name="_ddd12">#REF!</definedName>
    <definedName name="_ddd15" localSheetId="1">#REF!</definedName>
    <definedName name="_ddd15">#REF!</definedName>
    <definedName name="_ddd2" localSheetId="1">#REF!</definedName>
    <definedName name="_ddd2">#REF!</definedName>
    <definedName name="_ddd22" localSheetId="1">#REF!</definedName>
    <definedName name="_ddd22">#REF!</definedName>
    <definedName name="_ddd23" localSheetId="1">#REF!</definedName>
    <definedName name="_ddd23">#REF!</definedName>
    <definedName name="_ddd3" localSheetId="1">#REF!</definedName>
    <definedName name="_ddd3">#REF!</definedName>
    <definedName name="_ddd5" localSheetId="1">#REF!</definedName>
    <definedName name="_ddd5">#REF!</definedName>
    <definedName name="_ddd6" localSheetId="1">#REF!</definedName>
    <definedName name="_ddd6">#REF!</definedName>
    <definedName name="_ddd8" localSheetId="1">#REF!</definedName>
    <definedName name="_ddd8">#REF!</definedName>
    <definedName name="_ddd9" localSheetId="1">#REF!</definedName>
    <definedName name="_ddd9">#REF!</definedName>
    <definedName name="_end001" localSheetId="1">#REF!</definedName>
    <definedName name="_end001">#REF!</definedName>
    <definedName name="_end01" localSheetId="1">#REF!</definedName>
    <definedName name="_end01">#REF!</definedName>
    <definedName name="_xlnm._FilterDatabase" localSheetId="1" hidden="1">'สผส-จ '!$A$10:$AH$143</definedName>
    <definedName name="_ss" localSheetId="1">#REF!</definedName>
    <definedName name="_ss">#REF!</definedName>
    <definedName name="A" localSheetId="1">'[1]ตัวคูณทปษ ยุทธ'!#REF!</definedName>
    <definedName name="A">'[1]ตัวคูณทปษ ยุทธ'!#REF!</definedName>
    <definedName name="AAA" localSheetId="1">#REF!</definedName>
    <definedName name="AAA">#REF!</definedName>
    <definedName name="AAA0" localSheetId="1">#REF!</definedName>
    <definedName name="AAA0">#REF!</definedName>
    <definedName name="AAA00" localSheetId="1">#REF!</definedName>
    <definedName name="AAA00">#REF!</definedName>
    <definedName name="AAA000" localSheetId="1">#REF!</definedName>
    <definedName name="AAA000">#REF!</definedName>
    <definedName name="_xlnm.Database" localSheetId="1">#REF!</definedName>
    <definedName name="_xlnm.Database">#REF!</definedName>
    <definedName name="dep" localSheetId="1">#REF!</definedName>
    <definedName name="dep">#REF!</definedName>
    <definedName name="drop1" localSheetId="1">#REF!</definedName>
    <definedName name="drop1">#REF!</definedName>
    <definedName name="end" localSheetId="1">#REF!</definedName>
    <definedName name="end">#REF!</definedName>
    <definedName name="END000" localSheetId="1">#REF!</definedName>
    <definedName name="END000">#REF!</definedName>
    <definedName name="Finish" localSheetId="1">[2]ปม.102!#REF!</definedName>
    <definedName name="Finish">[2]ปม.102!#REF!</definedName>
    <definedName name="Ghert" localSheetId="1">#REF!</definedName>
    <definedName name="Ghert">#REF!</definedName>
    <definedName name="NO" localSheetId="1">[2]ปม.102!#REF!</definedName>
    <definedName name="NO">[2]ปม.102!#REF!</definedName>
    <definedName name="oil" localSheetId="1">[2]ปม.102!#REF!</definedName>
    <definedName name="oil">[2]ปม.102!#REF!</definedName>
    <definedName name="_xlnm.Print_Area" localSheetId="0">'สผส-ก'!$A$1:$AJ$35</definedName>
    <definedName name="_xlnm.Print_Area" localSheetId="1">'สผส-จ '!$A$1:$AH$142</definedName>
    <definedName name="_xlnm.Print_Area" localSheetId="2">'สผส-ป เงินกัน '!$A$1:$J$24</definedName>
    <definedName name="_xlnm.Print_Titles" localSheetId="1">'สผส-จ '!$A:$B,'สผส-จ '!$7:$9</definedName>
    <definedName name="Start" localSheetId="1">[2]ปม.102!#REF!</definedName>
    <definedName name="Start">[2]ปม.102!#REF!</definedName>
    <definedName name="Total" localSheetId="1">[2]ปม.102!#REF!</definedName>
    <definedName name="Total">[2]ปม.102!#REF!</definedName>
    <definedName name="Tu" localSheetId="1">#REF!</definedName>
    <definedName name="Tu">#REF!</definedName>
    <definedName name="Tukta36" localSheetId="1">#REF!</definedName>
    <definedName name="Tukta36">#REF!</definedName>
    <definedName name="view" localSheetId="1">#REF!</definedName>
    <definedName name="view">#REF!</definedName>
    <definedName name="vsprj" localSheetId="1">#REF!</definedName>
    <definedName name="vsprj">#REF!</definedName>
    <definedName name="vsprj0" localSheetId="1">#REF!</definedName>
    <definedName name="vsprj0">#REF!</definedName>
    <definedName name="vsprj00" localSheetId="1">#REF!</definedName>
    <definedName name="vsprj00">#REF!</definedName>
    <definedName name="vsprj000" localSheetId="1">#REF!</definedName>
    <definedName name="vsprj000">#REF!</definedName>
    <definedName name="โฆษณา" localSheetId="1">#REF!</definedName>
    <definedName name="โฆษณา">#REF!</definedName>
    <definedName name="โฆษณา45" localSheetId="1">#REF!</definedName>
    <definedName name="โฆษณา45">#REF!</definedName>
    <definedName name="งานแผน" localSheetId="1">#REF!</definedName>
    <definedName name="งานแผน">#REF!</definedName>
    <definedName name="งานอบรม" localSheetId="1">#REF!</definedName>
    <definedName name="งานอบรม">#REF!</definedName>
    <definedName name="จังหวัด">[3]หน่วยงาน!$F$2:$F$78</definedName>
    <definedName name="ช21">'[3]data list (ย่อ)'!$I$4:$I$7</definedName>
    <definedName name="ช22">'[3]data list (ย่อ)'!$J$4:$J$8</definedName>
    <definedName name="ช23">'[3]data list (ย่อ)'!$K$4:$K$7</definedName>
    <definedName name="ช24">'[3]data list (ย่อ)'!$L$4:$L$7</definedName>
    <definedName name="ช5">'[3]data list (ย่อ)'!$M$4:$M$6</definedName>
    <definedName name="ตัวคูณโฆษณา" localSheetId="1">#REF!</definedName>
    <definedName name="ตัวคูณโฆษณา">#REF!</definedName>
    <definedName name="ตารางแนวกันไฟ" localSheetId="1">[2]ปม.102!#REF!</definedName>
    <definedName name="ตารางแนวกันไฟ">[2]ปม.102!#REF!</definedName>
    <definedName name="ย1">'[3]data list (ย่อ)'!$A$4:$A$5</definedName>
    <definedName name="ย2">'[3]data list (ย่อ)'!$B$4:$B$9</definedName>
    <definedName name="ย3">'[3]data list (ย่อ)'!$C$4:$C$8</definedName>
    <definedName name="ย4">'[3]data list (ย่อ)'!$D$4</definedName>
    <definedName name="ย5">'[3]data list (ย่อ)'!$E$4:$E$5</definedName>
    <definedName name="ย6">'[3]data list (ย่อ)'!$F$4:$F$5</definedName>
    <definedName name="ลุ่มน้ำ">[3]หน่วยงาน!$D$2:$D$26</definedName>
    <definedName name="หน่วยงาน">[3]หน่วยงาน!$A$2:$A$26</definedName>
  </definedNames>
  <calcPr calcId="191029"/>
</workbook>
</file>

<file path=xl/calcChain.xml><?xml version="1.0" encoding="utf-8"?>
<calcChain xmlns="http://schemas.openxmlformats.org/spreadsheetml/2006/main">
  <c r="V58" i="7" l="1"/>
  <c r="V131" i="7"/>
  <c r="R131" i="7" s="1"/>
  <c r="V46" i="7"/>
  <c r="H142" i="7"/>
  <c r="F142" i="7" s="1"/>
  <c r="G142" i="7"/>
  <c r="E142" i="7" s="1"/>
  <c r="H141" i="7"/>
  <c r="F141" i="7" s="1"/>
  <c r="F140" i="7" s="1"/>
  <c r="F139" i="7" s="1"/>
  <c r="F138" i="7" s="1"/>
  <c r="F137" i="7" s="1"/>
  <c r="G141" i="7"/>
  <c r="E141" i="7"/>
  <c r="E140" i="7" s="1"/>
  <c r="E139" i="7" s="1"/>
  <c r="E138" i="7" s="1"/>
  <c r="E137" i="7" s="1"/>
  <c r="AH140" i="7"/>
  <c r="AH139" i="7" s="1"/>
  <c r="AH138" i="7" s="1"/>
  <c r="AH137" i="7" s="1"/>
  <c r="AG140" i="7"/>
  <c r="AG139" i="7" s="1"/>
  <c r="AG138" i="7" s="1"/>
  <c r="AG137" i="7" s="1"/>
  <c r="AF140" i="7"/>
  <c r="AF139" i="7" s="1"/>
  <c r="AF138" i="7" s="1"/>
  <c r="AF137" i="7" s="1"/>
  <c r="AE140" i="7"/>
  <c r="AE139" i="7" s="1"/>
  <c r="AE138" i="7" s="1"/>
  <c r="AE137" i="7" s="1"/>
  <c r="AD140" i="7"/>
  <c r="AD139" i="7" s="1"/>
  <c r="AD138" i="7" s="1"/>
  <c r="AD137" i="7" s="1"/>
  <c r="AC140" i="7"/>
  <c r="AB140" i="7"/>
  <c r="AB139" i="7" s="1"/>
  <c r="AB138" i="7" s="1"/>
  <c r="AB137" i="7" s="1"/>
  <c r="AA140" i="7"/>
  <c r="Z140" i="7"/>
  <c r="Y140" i="7"/>
  <c r="X140" i="7"/>
  <c r="W140" i="7"/>
  <c r="W139" i="7" s="1"/>
  <c r="W138" i="7" s="1"/>
  <c r="W137" i="7" s="1"/>
  <c r="V140" i="7"/>
  <c r="U140" i="7"/>
  <c r="T140" i="7"/>
  <c r="T139" i="7" s="1"/>
  <c r="T138" i="7" s="1"/>
  <c r="T137" i="7" s="1"/>
  <c r="S140" i="7"/>
  <c r="S139" i="7" s="1"/>
  <c r="S138" i="7" s="1"/>
  <c r="S137" i="7" s="1"/>
  <c r="R140" i="7"/>
  <c r="R139" i="7" s="1"/>
  <c r="R138" i="7" s="1"/>
  <c r="R137" i="7" s="1"/>
  <c r="Q140" i="7"/>
  <c r="Q139" i="7" s="1"/>
  <c r="Q138" i="7" s="1"/>
  <c r="Q137" i="7" s="1"/>
  <c r="P140" i="7"/>
  <c r="P139" i="7" s="1"/>
  <c r="P138" i="7" s="1"/>
  <c r="P137" i="7" s="1"/>
  <c r="O140" i="7"/>
  <c r="O139" i="7" s="1"/>
  <c r="O138" i="7" s="1"/>
  <c r="O137" i="7" s="1"/>
  <c r="N140" i="7"/>
  <c r="N139" i="7" s="1"/>
  <c r="N138" i="7" s="1"/>
  <c r="N137" i="7" s="1"/>
  <c r="M140" i="7"/>
  <c r="M139" i="7" s="1"/>
  <c r="M138" i="7" s="1"/>
  <c r="M137" i="7" s="1"/>
  <c r="L140" i="7"/>
  <c r="L139" i="7" s="1"/>
  <c r="L138" i="7" s="1"/>
  <c r="L137" i="7" s="1"/>
  <c r="K140" i="7"/>
  <c r="J140" i="7"/>
  <c r="J139" i="7" s="1"/>
  <c r="J138" i="7" s="1"/>
  <c r="J137" i="7" s="1"/>
  <c r="I140" i="7"/>
  <c r="G140" i="7"/>
  <c r="G139" i="7" s="1"/>
  <c r="G138" i="7" s="1"/>
  <c r="G137" i="7" s="1"/>
  <c r="D140" i="7"/>
  <c r="D139" i="7" s="1"/>
  <c r="D138" i="7" s="1"/>
  <c r="D137" i="7" s="1"/>
  <c r="AC139" i="7"/>
  <c r="AC138" i="7" s="1"/>
  <c r="AC137" i="7" s="1"/>
  <c r="AA139" i="7"/>
  <c r="AA138" i="7" s="1"/>
  <c r="AA137" i="7" s="1"/>
  <c r="Z139" i="7"/>
  <c r="Z138" i="7" s="1"/>
  <c r="Z137" i="7" s="1"/>
  <c r="Y139" i="7"/>
  <c r="X139" i="7"/>
  <c r="X138" i="7" s="1"/>
  <c r="X137" i="7" s="1"/>
  <c r="V139" i="7"/>
  <c r="V138" i="7" s="1"/>
  <c r="V137" i="7" s="1"/>
  <c r="U139" i="7"/>
  <c r="U138" i="7" s="1"/>
  <c r="U137" i="7" s="1"/>
  <c r="K139" i="7"/>
  <c r="K138" i="7" s="1"/>
  <c r="K137" i="7" s="1"/>
  <c r="I139" i="7"/>
  <c r="Y138" i="7"/>
  <c r="Y137" i="7" s="1"/>
  <c r="I138" i="7"/>
  <c r="I137" i="7" s="1"/>
  <c r="R136" i="7"/>
  <c r="R135" i="7" s="1"/>
  <c r="Q136" i="7"/>
  <c r="Q135" i="7" s="1"/>
  <c r="H136" i="7"/>
  <c r="G136" i="7"/>
  <c r="AH135" i="7"/>
  <c r="AG135" i="7"/>
  <c r="AF135" i="7"/>
  <c r="AE135" i="7"/>
  <c r="AD135" i="7"/>
  <c r="AC135" i="7"/>
  <c r="AB135" i="7"/>
  <c r="AA135" i="7"/>
  <c r="Z135" i="7"/>
  <c r="Y135" i="7"/>
  <c r="X135" i="7"/>
  <c r="W135" i="7"/>
  <c r="V135" i="7"/>
  <c r="U135" i="7"/>
  <c r="T135" i="7"/>
  <c r="T125" i="7" s="1"/>
  <c r="S135" i="7"/>
  <c r="P135" i="7"/>
  <c r="O135" i="7"/>
  <c r="N135" i="7"/>
  <c r="M135" i="7"/>
  <c r="L135" i="7"/>
  <c r="K135" i="7"/>
  <c r="J135" i="7"/>
  <c r="I135" i="7"/>
  <c r="D135" i="7"/>
  <c r="AD134" i="7"/>
  <c r="AC134" i="7"/>
  <c r="X134" i="7"/>
  <c r="W134" i="7"/>
  <c r="R134" i="7"/>
  <c r="Q134" i="7"/>
  <c r="H134" i="7"/>
  <c r="G134" i="7"/>
  <c r="AD133" i="7"/>
  <c r="AC133" i="7"/>
  <c r="X133" i="7"/>
  <c r="W133" i="7"/>
  <c r="R133" i="7"/>
  <c r="Q133" i="7"/>
  <c r="H133" i="7"/>
  <c r="G133" i="7"/>
  <c r="F133" i="7"/>
  <c r="E133" i="7"/>
  <c r="AD132" i="7"/>
  <c r="AC132" i="7"/>
  <c r="X132" i="7"/>
  <c r="W132" i="7"/>
  <c r="V132" i="7"/>
  <c r="U132" i="7"/>
  <c r="R132" i="7"/>
  <c r="Q132" i="7"/>
  <c r="H132" i="7"/>
  <c r="G132" i="7"/>
  <c r="D132" i="7"/>
  <c r="AD131" i="7"/>
  <c r="AC131" i="7"/>
  <c r="X131" i="7"/>
  <c r="W131" i="7"/>
  <c r="U131" i="7"/>
  <c r="Q131" i="7" s="1"/>
  <c r="P131" i="7"/>
  <c r="P126" i="7" s="1"/>
  <c r="P125" i="7" s="1"/>
  <c r="O131" i="7"/>
  <c r="O126" i="7" s="1"/>
  <c r="O125" i="7" s="1"/>
  <c r="N131" i="7"/>
  <c r="M131" i="7"/>
  <c r="L131" i="7"/>
  <c r="K131" i="7"/>
  <c r="D131" i="7"/>
  <c r="AD130" i="7"/>
  <c r="AC130" i="7"/>
  <c r="X130" i="7"/>
  <c r="W130" i="7"/>
  <c r="R130" i="7"/>
  <c r="Q130" i="7"/>
  <c r="M130" i="7"/>
  <c r="L130" i="7"/>
  <c r="H130" i="7" s="1"/>
  <c r="F130" i="7" s="1"/>
  <c r="K130" i="7"/>
  <c r="D130" i="7"/>
  <c r="AD129" i="7"/>
  <c r="AC129" i="7"/>
  <c r="X129" i="7"/>
  <c r="W129" i="7"/>
  <c r="R129" i="7"/>
  <c r="Q129" i="7"/>
  <c r="N129" i="7"/>
  <c r="M129" i="7"/>
  <c r="L129" i="7"/>
  <c r="K129" i="7"/>
  <c r="AD128" i="7"/>
  <c r="AC128" i="7"/>
  <c r="X128" i="7"/>
  <c r="W128" i="7"/>
  <c r="R128" i="7"/>
  <c r="Q128" i="7"/>
  <c r="N128" i="7"/>
  <c r="N126" i="7" s="1"/>
  <c r="N125" i="7" s="1"/>
  <c r="L128" i="7"/>
  <c r="K128" i="7"/>
  <c r="G128" i="7" s="1"/>
  <c r="E128" i="7" s="1"/>
  <c r="D128" i="7"/>
  <c r="AD127" i="7"/>
  <c r="AC127" i="7"/>
  <c r="X127" i="7"/>
  <c r="W127" i="7"/>
  <c r="W126" i="7" s="1"/>
  <c r="W125" i="7" s="1"/>
  <c r="R127" i="7"/>
  <c r="Q127" i="7"/>
  <c r="H127" i="7"/>
  <c r="G127" i="7"/>
  <c r="E127" i="7" s="1"/>
  <c r="AH126" i="7"/>
  <c r="AG126" i="7"/>
  <c r="AG125" i="7" s="1"/>
  <c r="AF126" i="7"/>
  <c r="AF125" i="7" s="1"/>
  <c r="AE126" i="7"/>
  <c r="AE125" i="7" s="1"/>
  <c r="AB126" i="7"/>
  <c r="AA126" i="7"/>
  <c r="AA125" i="7" s="1"/>
  <c r="Z126" i="7"/>
  <c r="Y126" i="7"/>
  <c r="T126" i="7"/>
  <c r="S126" i="7"/>
  <c r="S125" i="7" s="1"/>
  <c r="J126" i="7"/>
  <c r="J125" i="7" s="1"/>
  <c r="I126" i="7"/>
  <c r="I125" i="7" s="1"/>
  <c r="AH125" i="7"/>
  <c r="AB125" i="7"/>
  <c r="Z125" i="7"/>
  <c r="Y125" i="7"/>
  <c r="R124" i="7"/>
  <c r="Q124" i="7"/>
  <c r="H124" i="7"/>
  <c r="F124" i="7" s="1"/>
  <c r="G124" i="7"/>
  <c r="E124" i="7"/>
  <c r="R123" i="7"/>
  <c r="Q123" i="7"/>
  <c r="H123" i="7"/>
  <c r="F123" i="7" s="1"/>
  <c r="G123" i="7"/>
  <c r="E123" i="7" s="1"/>
  <c r="R122" i="7"/>
  <c r="R121" i="7" s="1"/>
  <c r="Q122" i="7"/>
  <c r="H122" i="7"/>
  <c r="G122" i="7"/>
  <c r="AH121" i="7"/>
  <c r="AG121" i="7"/>
  <c r="AF121" i="7"/>
  <c r="AE121" i="7"/>
  <c r="AD121" i="7"/>
  <c r="AC121" i="7"/>
  <c r="AB121" i="7"/>
  <c r="AA121" i="7"/>
  <c r="Z121" i="7"/>
  <c r="Y121" i="7"/>
  <c r="X121" i="7"/>
  <c r="W121" i="7"/>
  <c r="V121" i="7"/>
  <c r="U121" i="7"/>
  <c r="T121" i="7"/>
  <c r="S121" i="7"/>
  <c r="P121" i="7"/>
  <c r="O121" i="7"/>
  <c r="N121" i="7"/>
  <c r="M121" i="7"/>
  <c r="L121" i="7"/>
  <c r="K121" i="7"/>
  <c r="J121" i="7"/>
  <c r="I121" i="7"/>
  <c r="D121" i="7"/>
  <c r="AD120" i="7"/>
  <c r="AD119" i="7" s="1"/>
  <c r="AC120" i="7"/>
  <c r="AC119" i="7" s="1"/>
  <c r="X120" i="7"/>
  <c r="W120" i="7"/>
  <c r="W119" i="7" s="1"/>
  <c r="R120" i="7"/>
  <c r="R119" i="7" s="1"/>
  <c r="Q120" i="7"/>
  <c r="Q119" i="7" s="1"/>
  <c r="L120" i="7"/>
  <c r="H120" i="7" s="1"/>
  <c r="K120" i="7"/>
  <c r="G120" i="7" s="1"/>
  <c r="D120" i="7"/>
  <c r="D119" i="7" s="1"/>
  <c r="AH119" i="7"/>
  <c r="AG119" i="7"/>
  <c r="AF119" i="7"/>
  <c r="AE119" i="7"/>
  <c r="AB119" i="7"/>
  <c r="AA119" i="7"/>
  <c r="Z119" i="7"/>
  <c r="Y119" i="7"/>
  <c r="X119" i="7"/>
  <c r="V119" i="7"/>
  <c r="U119" i="7"/>
  <c r="T119" i="7"/>
  <c r="S119" i="7"/>
  <c r="P119" i="7"/>
  <c r="O119" i="7"/>
  <c r="N119" i="7"/>
  <c r="M119" i="7"/>
  <c r="J119" i="7"/>
  <c r="I119" i="7"/>
  <c r="AD118" i="7"/>
  <c r="AC118" i="7"/>
  <c r="X118" i="7"/>
  <c r="W118" i="7"/>
  <c r="R118" i="7"/>
  <c r="Q118" i="7"/>
  <c r="H118" i="7"/>
  <c r="F118" i="7" s="1"/>
  <c r="G118" i="7"/>
  <c r="AD117" i="7"/>
  <c r="AC117" i="7"/>
  <c r="X117" i="7"/>
  <c r="W117" i="7"/>
  <c r="R117" i="7"/>
  <c r="Q117" i="7"/>
  <c r="H117" i="7"/>
  <c r="F117" i="7" s="1"/>
  <c r="G117" i="7"/>
  <c r="AD116" i="7"/>
  <c r="AC116" i="7"/>
  <c r="AC113" i="7" s="1"/>
  <c r="X116" i="7"/>
  <c r="W116" i="7"/>
  <c r="R116" i="7"/>
  <c r="Q116" i="7"/>
  <c r="M116" i="7"/>
  <c r="M113" i="7" s="1"/>
  <c r="L116" i="7"/>
  <c r="H116" i="7" s="1"/>
  <c r="I116" i="7"/>
  <c r="G116" i="7" s="1"/>
  <c r="D116" i="7"/>
  <c r="AD115" i="7"/>
  <c r="AC115" i="7"/>
  <c r="X115" i="7"/>
  <c r="W115" i="7"/>
  <c r="R115" i="7"/>
  <c r="Q115" i="7"/>
  <c r="H115" i="7"/>
  <c r="F115" i="7" s="1"/>
  <c r="G115" i="7"/>
  <c r="AD114" i="7"/>
  <c r="AC114" i="7"/>
  <c r="X114" i="7"/>
  <c r="X113" i="7" s="1"/>
  <c r="W114" i="7"/>
  <c r="R114" i="7"/>
  <c r="Q114" i="7"/>
  <c r="H114" i="7"/>
  <c r="G114" i="7"/>
  <c r="AH113" i="7"/>
  <c r="AG113" i="7"/>
  <c r="AF113" i="7"/>
  <c r="AE113" i="7"/>
  <c r="AB113" i="7"/>
  <c r="AA113" i="7"/>
  <c r="Z113" i="7"/>
  <c r="Y113" i="7"/>
  <c r="V113" i="7"/>
  <c r="U113" i="7"/>
  <c r="T113" i="7"/>
  <c r="S113" i="7"/>
  <c r="Q113" i="7"/>
  <c r="P113" i="7"/>
  <c r="O113" i="7"/>
  <c r="N113" i="7"/>
  <c r="L113" i="7"/>
  <c r="K113" i="7"/>
  <c r="J113" i="7"/>
  <c r="I113" i="7"/>
  <c r="D113" i="7"/>
  <c r="AD112" i="7"/>
  <c r="AC112" i="7"/>
  <c r="X112" i="7" s="1"/>
  <c r="W112" i="7"/>
  <c r="V112" i="7"/>
  <c r="R112" i="7" s="1"/>
  <c r="U112" i="7"/>
  <c r="Q112" i="7" s="1"/>
  <c r="H112" i="7"/>
  <c r="G112" i="7"/>
  <c r="D112" i="7"/>
  <c r="AD111" i="7"/>
  <c r="AC111" i="7"/>
  <c r="X111" i="7"/>
  <c r="W111" i="7"/>
  <c r="V111" i="7"/>
  <c r="R111" i="7" s="1"/>
  <c r="U111" i="7"/>
  <c r="Q111" i="7" s="1"/>
  <c r="H111" i="7"/>
  <c r="G111" i="7"/>
  <c r="D111" i="7"/>
  <c r="AD110" i="7"/>
  <c r="AC110" i="7"/>
  <c r="W110" i="7"/>
  <c r="W109" i="7" s="1"/>
  <c r="W107" i="7" s="1"/>
  <c r="V110" i="7"/>
  <c r="R110" i="7" s="1"/>
  <c r="U110" i="7"/>
  <c r="Q110" i="7" s="1"/>
  <c r="P110" i="7"/>
  <c r="P109" i="7" s="1"/>
  <c r="P107" i="7" s="1"/>
  <c r="N110" i="7"/>
  <c r="N109" i="7" s="1"/>
  <c r="M110" i="7"/>
  <c r="M109" i="7" s="1"/>
  <c r="L110" i="7"/>
  <c r="H110" i="7" s="1"/>
  <c r="K110" i="7"/>
  <c r="G110" i="7" s="1"/>
  <c r="D110" i="7"/>
  <c r="D109" i="7" s="1"/>
  <c r="D107" i="7" s="1"/>
  <c r="AH109" i="7"/>
  <c r="AH107" i="7" s="1"/>
  <c r="AG109" i="7"/>
  <c r="AG107" i="7" s="1"/>
  <c r="AF109" i="7"/>
  <c r="AF107" i="7" s="1"/>
  <c r="AE109" i="7"/>
  <c r="AB109" i="7"/>
  <c r="AB107" i="7" s="1"/>
  <c r="AA109" i="7"/>
  <c r="AA107" i="7" s="1"/>
  <c r="Z109" i="7"/>
  <c r="Y109" i="7"/>
  <c r="T109" i="7"/>
  <c r="T107" i="7" s="1"/>
  <c r="S109" i="7"/>
  <c r="S107" i="7" s="1"/>
  <c r="O109" i="7"/>
  <c r="K109" i="7"/>
  <c r="K107" i="7" s="1"/>
  <c r="J109" i="7"/>
  <c r="I109" i="7"/>
  <c r="I107" i="7" s="1"/>
  <c r="AD108" i="7"/>
  <c r="AC108" i="7"/>
  <c r="X108" i="7" s="1"/>
  <c r="W108" i="7"/>
  <c r="R108" i="7"/>
  <c r="Q108" i="7"/>
  <c r="N108" i="7"/>
  <c r="M108" i="7"/>
  <c r="L108" i="7"/>
  <c r="K108" i="7"/>
  <c r="D108" i="7"/>
  <c r="AE107" i="7"/>
  <c r="Z107" i="7"/>
  <c r="Y107" i="7"/>
  <c r="O107" i="7"/>
  <c r="J107" i="7"/>
  <c r="AD106" i="7"/>
  <c r="AC106" i="7"/>
  <c r="X106" i="7"/>
  <c r="W106" i="7"/>
  <c r="R106" i="7"/>
  <c r="Q106" i="7"/>
  <c r="M106" i="7"/>
  <c r="L106" i="7"/>
  <c r="K106" i="7"/>
  <c r="H106" i="7"/>
  <c r="G106" i="7"/>
  <c r="E106" i="7" s="1"/>
  <c r="D106" i="7"/>
  <c r="AD105" i="7"/>
  <c r="AD104" i="7" s="1"/>
  <c r="AC105" i="7"/>
  <c r="X105" i="7"/>
  <c r="W105" i="7"/>
  <c r="W104" i="7" s="1"/>
  <c r="R105" i="7"/>
  <c r="Q105" i="7"/>
  <c r="H105" i="7"/>
  <c r="G105" i="7"/>
  <c r="AH104" i="7"/>
  <c r="AG104" i="7"/>
  <c r="AF104" i="7"/>
  <c r="AF100" i="7" s="1"/>
  <c r="AE104" i="7"/>
  <c r="AB104" i="7"/>
  <c r="AA104" i="7"/>
  <c r="AA100" i="7" s="1"/>
  <c r="Z104" i="7"/>
  <c r="Y104" i="7"/>
  <c r="Y100" i="7" s="1"/>
  <c r="X104" i="7"/>
  <c r="V104" i="7"/>
  <c r="V100" i="7" s="1"/>
  <c r="U104" i="7"/>
  <c r="T104" i="7"/>
  <c r="T100" i="7" s="1"/>
  <c r="S104" i="7"/>
  <c r="Q104" i="7"/>
  <c r="P104" i="7"/>
  <c r="P100" i="7" s="1"/>
  <c r="O104" i="7"/>
  <c r="N104" i="7"/>
  <c r="M104" i="7"/>
  <c r="L104" i="7"/>
  <c r="K104" i="7"/>
  <c r="J104" i="7"/>
  <c r="I104" i="7"/>
  <c r="H104" i="7"/>
  <c r="D104" i="7"/>
  <c r="AY103" i="7"/>
  <c r="AX103" i="7" s="1"/>
  <c r="AW103" i="7"/>
  <c r="AU103" i="7" s="1"/>
  <c r="AT103" i="7"/>
  <c r="AS103" i="7"/>
  <c r="AP103" i="7"/>
  <c r="AO103" i="7"/>
  <c r="AI103" i="7"/>
  <c r="AD103" i="7"/>
  <c r="AC103" i="7"/>
  <c r="AB103" i="7"/>
  <c r="AB100" i="7" s="1"/>
  <c r="AA103" i="7"/>
  <c r="X103" i="7"/>
  <c r="W103" i="7"/>
  <c r="R103" i="7"/>
  <c r="Q103" i="7"/>
  <c r="E103" i="7" s="1"/>
  <c r="H103" i="7"/>
  <c r="F103" i="7" s="1"/>
  <c r="G103" i="7"/>
  <c r="D103" i="7"/>
  <c r="AD102" i="7"/>
  <c r="AC102" i="7"/>
  <c r="X102" i="7"/>
  <c r="W102" i="7"/>
  <c r="R102" i="7"/>
  <c r="Q102" i="7"/>
  <c r="N102" i="7"/>
  <c r="M102" i="7"/>
  <c r="M100" i="7" s="1"/>
  <c r="L102" i="7"/>
  <c r="K102" i="7"/>
  <c r="I102" i="7"/>
  <c r="AH101" i="7"/>
  <c r="AD101" i="7" s="1"/>
  <c r="AG101" i="7"/>
  <c r="AG100" i="7" s="1"/>
  <c r="X101" i="7"/>
  <c r="W101" i="7"/>
  <c r="R101" i="7"/>
  <c r="Q101" i="7"/>
  <c r="H101" i="7"/>
  <c r="G101" i="7"/>
  <c r="AE100" i="7"/>
  <c r="Z100" i="7"/>
  <c r="U100" i="7"/>
  <c r="S100" i="7"/>
  <c r="O100" i="7"/>
  <c r="N100" i="7"/>
  <c r="K100" i="7"/>
  <c r="J100" i="7"/>
  <c r="AD99" i="7"/>
  <c r="AC99" i="7"/>
  <c r="X99" i="7"/>
  <c r="W99" i="7"/>
  <c r="R99" i="7"/>
  <c r="Q99" i="7"/>
  <c r="H99" i="7"/>
  <c r="G99" i="7"/>
  <c r="E99" i="7" s="1"/>
  <c r="F99" i="7"/>
  <c r="AD98" i="7"/>
  <c r="AC98" i="7"/>
  <c r="X98" i="7"/>
  <c r="W98" i="7"/>
  <c r="R98" i="7"/>
  <c r="Q98" i="7"/>
  <c r="H98" i="7"/>
  <c r="G98" i="7"/>
  <c r="AD97" i="7"/>
  <c r="AC97" i="7"/>
  <c r="X97" i="7"/>
  <c r="W97" i="7"/>
  <c r="R97" i="7"/>
  <c r="Q97" i="7"/>
  <c r="H97" i="7"/>
  <c r="G97" i="7"/>
  <c r="AD96" i="7"/>
  <c r="AC96" i="7"/>
  <c r="X96" i="7"/>
  <c r="X94" i="7" s="1"/>
  <c r="W96" i="7"/>
  <c r="R96" i="7"/>
  <c r="Q96" i="7"/>
  <c r="N96" i="7"/>
  <c r="M96" i="7"/>
  <c r="M94" i="7" s="1"/>
  <c r="L96" i="7"/>
  <c r="L94" i="7" s="1"/>
  <c r="K96" i="7"/>
  <c r="G96" i="7"/>
  <c r="D96" i="7"/>
  <c r="AD95" i="7"/>
  <c r="AC95" i="7"/>
  <c r="X95" i="7"/>
  <c r="W95" i="7"/>
  <c r="R95" i="7"/>
  <c r="Q95" i="7"/>
  <c r="H95" i="7"/>
  <c r="F95" i="7" s="1"/>
  <c r="G95" i="7"/>
  <c r="E95" i="7" s="1"/>
  <c r="AH94" i="7"/>
  <c r="AG94" i="7"/>
  <c r="AF94" i="7"/>
  <c r="AE94" i="7"/>
  <c r="AB94" i="7"/>
  <c r="AA94" i="7"/>
  <c r="Z94" i="7"/>
  <c r="Y94" i="7"/>
  <c r="V94" i="7"/>
  <c r="U94" i="7"/>
  <c r="T94" i="7"/>
  <c r="S94" i="7"/>
  <c r="P94" i="7"/>
  <c r="O94" i="7"/>
  <c r="N94" i="7"/>
  <c r="K94" i="7"/>
  <c r="J94" i="7"/>
  <c r="I94" i="7"/>
  <c r="D94" i="7"/>
  <c r="AD93" i="7"/>
  <c r="AC93" i="7"/>
  <c r="X93" i="7"/>
  <c r="W93" i="7"/>
  <c r="R93" i="7"/>
  <c r="Q93" i="7"/>
  <c r="H93" i="7"/>
  <c r="G93" i="7"/>
  <c r="F93" i="7"/>
  <c r="AD92" i="7"/>
  <c r="AC92" i="7"/>
  <c r="AB92" i="7"/>
  <c r="AA92" i="7"/>
  <c r="W92" i="7" s="1"/>
  <c r="X92" i="7"/>
  <c r="R92" i="7"/>
  <c r="Q92" i="7"/>
  <c r="M92" i="7"/>
  <c r="L92" i="7"/>
  <c r="H92" i="7" s="1"/>
  <c r="K92" i="7"/>
  <c r="D92" i="7"/>
  <c r="AD91" i="7"/>
  <c r="AC91" i="7"/>
  <c r="X91" i="7"/>
  <c r="W91" i="7"/>
  <c r="R91" i="7"/>
  <c r="Q91" i="7"/>
  <c r="M91" i="7"/>
  <c r="L91" i="7"/>
  <c r="H91" i="7" s="1"/>
  <c r="F91" i="7" s="1"/>
  <c r="G91" i="7"/>
  <c r="D91" i="7"/>
  <c r="AD90" i="7"/>
  <c r="AC90" i="7"/>
  <c r="AB90" i="7"/>
  <c r="X90" i="7" s="1"/>
  <c r="AA90" i="7"/>
  <c r="R90" i="7"/>
  <c r="Q90" i="7"/>
  <c r="M90" i="7"/>
  <c r="M85" i="7" s="1"/>
  <c r="L90" i="7"/>
  <c r="H90" i="7" s="1"/>
  <c r="K90" i="7"/>
  <c r="G90" i="7" s="1"/>
  <c r="D90" i="7"/>
  <c r="AD89" i="7"/>
  <c r="AC89" i="7"/>
  <c r="X89" i="7"/>
  <c r="W89" i="7"/>
  <c r="R89" i="7"/>
  <c r="Q89" i="7"/>
  <c r="N89" i="7"/>
  <c r="N85" i="7" s="1"/>
  <c r="M89" i="7"/>
  <c r="L89" i="7"/>
  <c r="K89" i="7"/>
  <c r="G89" i="7" s="1"/>
  <c r="E89" i="7" s="1"/>
  <c r="D89" i="7"/>
  <c r="AD88" i="7"/>
  <c r="AC88" i="7"/>
  <c r="X88" i="7"/>
  <c r="W88" i="7"/>
  <c r="R88" i="7"/>
  <c r="Q88" i="7"/>
  <c r="N88" i="7"/>
  <c r="M88" i="7"/>
  <c r="L88" i="7"/>
  <c r="H88" i="7" s="1"/>
  <c r="K88" i="7"/>
  <c r="D88" i="7"/>
  <c r="AD87" i="7"/>
  <c r="AC87" i="7"/>
  <c r="X87" i="7"/>
  <c r="W87" i="7"/>
  <c r="R87" i="7"/>
  <c r="Q87" i="7"/>
  <c r="Q85" i="7" s="1"/>
  <c r="P87" i="7"/>
  <c r="M87" i="7"/>
  <c r="L87" i="7"/>
  <c r="K87" i="7"/>
  <c r="G87" i="7"/>
  <c r="D87" i="7"/>
  <c r="AD86" i="7"/>
  <c r="AC86" i="7"/>
  <c r="X86" i="7"/>
  <c r="W86" i="7"/>
  <c r="R86" i="7"/>
  <c r="Q86" i="7"/>
  <c r="H86" i="7"/>
  <c r="G86" i="7"/>
  <c r="AH85" i="7"/>
  <c r="AG85" i="7"/>
  <c r="AF85" i="7"/>
  <c r="AE85" i="7"/>
  <c r="AB85" i="7"/>
  <c r="Z85" i="7"/>
  <c r="Y85" i="7"/>
  <c r="V85" i="7"/>
  <c r="U85" i="7"/>
  <c r="T85" i="7"/>
  <c r="S85" i="7"/>
  <c r="O85" i="7"/>
  <c r="J85" i="7"/>
  <c r="I85" i="7"/>
  <c r="AD84" i="7"/>
  <c r="AC84" i="7"/>
  <c r="X84" i="7"/>
  <c r="W84" i="7"/>
  <c r="R84" i="7"/>
  <c r="Q84" i="7"/>
  <c r="N84" i="7"/>
  <c r="H84" i="7" s="1"/>
  <c r="F84" i="7" s="1"/>
  <c r="L84" i="7"/>
  <c r="K84" i="7"/>
  <c r="G84" i="7" s="1"/>
  <c r="D84" i="7"/>
  <c r="AD83" i="7"/>
  <c r="AC83" i="7"/>
  <c r="AB83" i="7"/>
  <c r="AA83" i="7"/>
  <c r="X83" i="7"/>
  <c r="W83" i="7"/>
  <c r="R83" i="7"/>
  <c r="Q83" i="7"/>
  <c r="H83" i="7"/>
  <c r="G83" i="7"/>
  <c r="D83" i="7"/>
  <c r="AD82" i="7"/>
  <c r="AC82" i="7"/>
  <c r="X82" i="7"/>
  <c r="W82" i="7"/>
  <c r="R82" i="7"/>
  <c r="Q82" i="7"/>
  <c r="M82" i="7"/>
  <c r="M78" i="7" s="1"/>
  <c r="L82" i="7"/>
  <c r="K82" i="7"/>
  <c r="K78" i="7" s="1"/>
  <c r="G82" i="7"/>
  <c r="D82" i="7"/>
  <c r="AD81" i="7"/>
  <c r="AC81" i="7"/>
  <c r="X81" i="7"/>
  <c r="W81" i="7"/>
  <c r="R81" i="7"/>
  <c r="Q81" i="7"/>
  <c r="H81" i="7"/>
  <c r="G81" i="7"/>
  <c r="AD80" i="7"/>
  <c r="AC80" i="7"/>
  <c r="X80" i="7"/>
  <c r="W80" i="7"/>
  <c r="R80" i="7"/>
  <c r="Q80" i="7"/>
  <c r="H80" i="7"/>
  <c r="F80" i="7" s="1"/>
  <c r="G80" i="7"/>
  <c r="AD79" i="7"/>
  <c r="AC79" i="7"/>
  <c r="AB79" i="7"/>
  <c r="AA79" i="7"/>
  <c r="X79" i="7"/>
  <c r="W79" i="7"/>
  <c r="W78" i="7" s="1"/>
  <c r="R79" i="7"/>
  <c r="Q79" i="7"/>
  <c r="H79" i="7"/>
  <c r="G79" i="7"/>
  <c r="D79" i="7"/>
  <c r="AH78" i="7"/>
  <c r="AG78" i="7"/>
  <c r="AF78" i="7"/>
  <c r="AE78" i="7"/>
  <c r="AB78" i="7"/>
  <c r="Z78" i="7"/>
  <c r="Y78" i="7"/>
  <c r="V78" i="7"/>
  <c r="U78" i="7"/>
  <c r="T78" i="7"/>
  <c r="S78" i="7"/>
  <c r="P78" i="7"/>
  <c r="O78" i="7"/>
  <c r="N78" i="7"/>
  <c r="J78" i="7"/>
  <c r="I78" i="7"/>
  <c r="AD77" i="7"/>
  <c r="AC77" i="7"/>
  <c r="X77" i="7"/>
  <c r="W77" i="7"/>
  <c r="R77" i="7"/>
  <c r="Q77" i="7"/>
  <c r="H77" i="7"/>
  <c r="G77" i="7"/>
  <c r="AD76" i="7"/>
  <c r="AC76" i="7"/>
  <c r="X76" i="7"/>
  <c r="W76" i="7"/>
  <c r="R76" i="7"/>
  <c r="Q76" i="7"/>
  <c r="P76" i="7"/>
  <c r="N76" i="7"/>
  <c r="L76" i="7"/>
  <c r="K76" i="7"/>
  <c r="G76" i="7" s="1"/>
  <c r="E76" i="7" s="1"/>
  <c r="D76" i="7"/>
  <c r="AD75" i="7"/>
  <c r="AC75" i="7"/>
  <c r="AB75" i="7"/>
  <c r="X75" i="7" s="1"/>
  <c r="AA75" i="7"/>
  <c r="W75" i="7" s="1"/>
  <c r="V75" i="7"/>
  <c r="R75" i="7" s="1"/>
  <c r="U75" i="7"/>
  <c r="Q75" i="7"/>
  <c r="E75" i="7" s="1"/>
  <c r="N75" i="7"/>
  <c r="L75" i="7"/>
  <c r="H75" i="7" s="1"/>
  <c r="K75" i="7"/>
  <c r="G75" i="7" s="1"/>
  <c r="D75" i="7"/>
  <c r="AD74" i="7"/>
  <c r="AC74" i="7"/>
  <c r="AC72" i="7" s="1"/>
  <c r="X74" i="7"/>
  <c r="W74" i="7"/>
  <c r="R74" i="7"/>
  <c r="Q74" i="7"/>
  <c r="N74" i="7"/>
  <c r="M74" i="7"/>
  <c r="L74" i="7"/>
  <c r="K74" i="7"/>
  <c r="D74" i="7"/>
  <c r="AD73" i="7"/>
  <c r="AC73" i="7"/>
  <c r="X73" i="7"/>
  <c r="X72" i="7" s="1"/>
  <c r="W73" i="7"/>
  <c r="R73" i="7"/>
  <c r="R72" i="7" s="1"/>
  <c r="Q73" i="7"/>
  <c r="Q72" i="7" s="1"/>
  <c r="N73" i="7"/>
  <c r="M73" i="7"/>
  <c r="L73" i="7"/>
  <c r="L72" i="7" s="1"/>
  <c r="K73" i="7"/>
  <c r="G73" i="7" s="1"/>
  <c r="J73" i="7"/>
  <c r="D73" i="7"/>
  <c r="AH72" i="7"/>
  <c r="AH70" i="7" s="1"/>
  <c r="AG72" i="7"/>
  <c r="AF72" i="7"/>
  <c r="AE72" i="7"/>
  <c r="AE70" i="7" s="1"/>
  <c r="AE69" i="7" s="1"/>
  <c r="AE68" i="7" s="1"/>
  <c r="AE67" i="7" s="1"/>
  <c r="AB72" i="7"/>
  <c r="AA72" i="7"/>
  <c r="AA70" i="7" s="1"/>
  <c r="Z72" i="7"/>
  <c r="Z70" i="7" s="1"/>
  <c r="Y72" i="7"/>
  <c r="W72" i="7"/>
  <c r="V72" i="7"/>
  <c r="U72" i="7"/>
  <c r="U70" i="7" s="1"/>
  <c r="T72" i="7"/>
  <c r="S72" i="7"/>
  <c r="S70" i="7" s="1"/>
  <c r="S69" i="7" s="1"/>
  <c r="S68" i="7" s="1"/>
  <c r="S67" i="7" s="1"/>
  <c r="P72" i="7"/>
  <c r="O72" i="7"/>
  <c r="O70" i="7" s="1"/>
  <c r="K72" i="7"/>
  <c r="I72" i="7"/>
  <c r="AD71" i="7"/>
  <c r="AC71" i="7"/>
  <c r="X71" i="7"/>
  <c r="W71" i="7"/>
  <c r="R71" i="7"/>
  <c r="Q71" i="7"/>
  <c r="L71" i="7"/>
  <c r="H71" i="7" s="1"/>
  <c r="F71" i="7" s="1"/>
  <c r="K71" i="7"/>
  <c r="G71" i="7" s="1"/>
  <c r="J71" i="7"/>
  <c r="D71" i="7"/>
  <c r="AG70" i="7"/>
  <c r="AF70" i="7"/>
  <c r="AB70" i="7"/>
  <c r="Y70" i="7"/>
  <c r="T70" i="7"/>
  <c r="P70" i="7"/>
  <c r="I70" i="7"/>
  <c r="AB69" i="7"/>
  <c r="AB68" i="7" s="1"/>
  <c r="AB67" i="7" s="1"/>
  <c r="AD66" i="7"/>
  <c r="AC66" i="7"/>
  <c r="X66" i="7"/>
  <c r="W66" i="7"/>
  <c r="R66" i="7"/>
  <c r="Q66" i="7"/>
  <c r="H66" i="7"/>
  <c r="G66" i="7"/>
  <c r="AD65" i="7"/>
  <c r="AC65" i="7"/>
  <c r="X65" i="7"/>
  <c r="F65" i="7" s="1"/>
  <c r="W65" i="7"/>
  <c r="R65" i="7"/>
  <c r="Q65" i="7"/>
  <c r="H65" i="7"/>
  <c r="G65" i="7"/>
  <c r="AD64" i="7"/>
  <c r="AC64" i="7"/>
  <c r="X64" i="7"/>
  <c r="W64" i="7"/>
  <c r="R64" i="7"/>
  <c r="Q64" i="7"/>
  <c r="Q63" i="7" s="1"/>
  <c r="P64" i="7"/>
  <c r="N64" i="7"/>
  <c r="N63" i="7" s="1"/>
  <c r="M64" i="7"/>
  <c r="M63" i="7" s="1"/>
  <c r="L64" i="7"/>
  <c r="L63" i="7" s="1"/>
  <c r="K64" i="7"/>
  <c r="D64" i="7"/>
  <c r="AH63" i="7"/>
  <c r="AG63" i="7"/>
  <c r="AF63" i="7"/>
  <c r="AE63" i="7"/>
  <c r="AB63" i="7"/>
  <c r="AA63" i="7"/>
  <c r="Z63" i="7"/>
  <c r="Y63" i="7"/>
  <c r="V63" i="7"/>
  <c r="U63" i="7"/>
  <c r="T63" i="7"/>
  <c r="S63" i="7"/>
  <c r="R63" i="7"/>
  <c r="P63" i="7"/>
  <c r="O63" i="7"/>
  <c r="J63" i="7"/>
  <c r="I63" i="7"/>
  <c r="D63" i="7"/>
  <c r="AD62" i="7"/>
  <c r="AC62" i="7"/>
  <c r="X62" i="7"/>
  <c r="W62" i="7"/>
  <c r="R62" i="7"/>
  <c r="Q62" i="7"/>
  <c r="N62" i="7"/>
  <c r="M62" i="7"/>
  <c r="L62" i="7"/>
  <c r="K62" i="7"/>
  <c r="D62" i="7"/>
  <c r="AD61" i="7"/>
  <c r="AC61" i="7"/>
  <c r="X61" i="7"/>
  <c r="W61" i="7"/>
  <c r="V61" i="7"/>
  <c r="R61" i="7" s="1"/>
  <c r="U61" i="7"/>
  <c r="Q61" i="7"/>
  <c r="P61" i="7"/>
  <c r="N61" i="7"/>
  <c r="M61" i="7"/>
  <c r="L61" i="7"/>
  <c r="K61" i="7"/>
  <c r="G61" i="7" s="1"/>
  <c r="E61" i="7" s="1"/>
  <c r="D61" i="7"/>
  <c r="AD60" i="7"/>
  <c r="AC60" i="7"/>
  <c r="X60" i="7"/>
  <c r="W60" i="7"/>
  <c r="R60" i="7"/>
  <c r="Q60" i="7"/>
  <c r="H60" i="7"/>
  <c r="F60" i="7" s="1"/>
  <c r="G60" i="7"/>
  <c r="AD59" i="7"/>
  <c r="AC59" i="7"/>
  <c r="X59" i="7"/>
  <c r="W59" i="7"/>
  <c r="R59" i="7"/>
  <c r="Q59" i="7"/>
  <c r="P59" i="7"/>
  <c r="N59" i="7"/>
  <c r="N49" i="7" s="1"/>
  <c r="M59" i="7"/>
  <c r="L59" i="7"/>
  <c r="K59" i="7"/>
  <c r="G59" i="7" s="1"/>
  <c r="E59" i="7" s="1"/>
  <c r="D59" i="7"/>
  <c r="AD58" i="7"/>
  <c r="AC58" i="7"/>
  <c r="X58" i="7"/>
  <c r="W58" i="7"/>
  <c r="U58" i="7"/>
  <c r="T58" i="7"/>
  <c r="T49" i="7" s="1"/>
  <c r="S58" i="7"/>
  <c r="H58" i="7"/>
  <c r="G58" i="7"/>
  <c r="D58" i="7"/>
  <c r="AD57" i="7"/>
  <c r="AC57" i="7"/>
  <c r="X57" i="7"/>
  <c r="W57" i="7"/>
  <c r="R57" i="7"/>
  <c r="Q57" i="7"/>
  <c r="H57" i="7"/>
  <c r="G57" i="7"/>
  <c r="F57" i="7"/>
  <c r="AD56" i="7"/>
  <c r="AC56" i="7"/>
  <c r="X56" i="7"/>
  <c r="W56" i="7"/>
  <c r="R56" i="7"/>
  <c r="Q56" i="7"/>
  <c r="E56" i="7" s="1"/>
  <c r="H56" i="7"/>
  <c r="F56" i="7" s="1"/>
  <c r="G56" i="7"/>
  <c r="AD55" i="7"/>
  <c r="AC55" i="7"/>
  <c r="X55" i="7"/>
  <c r="W55" i="7"/>
  <c r="R55" i="7"/>
  <c r="F55" i="7" s="1"/>
  <c r="Q55" i="7"/>
  <c r="H55" i="7"/>
  <c r="G55" i="7"/>
  <c r="E55" i="7" s="1"/>
  <c r="AD54" i="7"/>
  <c r="AC54" i="7"/>
  <c r="X54" i="7"/>
  <c r="W54" i="7"/>
  <c r="R54" i="7"/>
  <c r="Q54" i="7"/>
  <c r="E54" i="7" s="1"/>
  <c r="H54" i="7"/>
  <c r="F54" i="7" s="1"/>
  <c r="G54" i="7"/>
  <c r="AD53" i="7"/>
  <c r="AC53" i="7"/>
  <c r="X53" i="7"/>
  <c r="W53" i="7"/>
  <c r="R53" i="7"/>
  <c r="Q53" i="7"/>
  <c r="H53" i="7"/>
  <c r="F53" i="7" s="1"/>
  <c r="G53" i="7"/>
  <c r="AD52" i="7"/>
  <c r="AC52" i="7"/>
  <c r="X52" i="7"/>
  <c r="W52" i="7"/>
  <c r="R52" i="7"/>
  <c r="Q52" i="7"/>
  <c r="P52" i="7"/>
  <c r="O52" i="7"/>
  <c r="N52" i="7"/>
  <c r="M52" i="7"/>
  <c r="L52" i="7"/>
  <c r="K52" i="7"/>
  <c r="I52" i="7"/>
  <c r="I49" i="7" s="1"/>
  <c r="G52" i="7"/>
  <c r="D52" i="7"/>
  <c r="AD51" i="7"/>
  <c r="AC51" i="7"/>
  <c r="X51" i="7"/>
  <c r="W51" i="7"/>
  <c r="W49" i="7" s="1"/>
  <c r="R51" i="7"/>
  <c r="F51" i="7" s="1"/>
  <c r="Q51" i="7"/>
  <c r="H51" i="7"/>
  <c r="G51" i="7"/>
  <c r="AD50" i="7"/>
  <c r="AC50" i="7"/>
  <c r="X50" i="7"/>
  <c r="W50" i="7"/>
  <c r="R50" i="7"/>
  <c r="Q50" i="7"/>
  <c r="E50" i="7" s="1"/>
  <c r="H50" i="7"/>
  <c r="G50" i="7"/>
  <c r="AH49" i="7"/>
  <c r="AG49" i="7"/>
  <c r="AF49" i="7"/>
  <c r="AE49" i="7"/>
  <c r="AB49" i="7"/>
  <c r="AA49" i="7"/>
  <c r="Z49" i="7"/>
  <c r="Y49" i="7"/>
  <c r="V49" i="7"/>
  <c r="U49" i="7"/>
  <c r="O49" i="7"/>
  <c r="J49" i="7"/>
  <c r="AD48" i="7"/>
  <c r="AC48" i="7"/>
  <c r="X48" i="7"/>
  <c r="W48" i="7"/>
  <c r="R48" i="7"/>
  <c r="Q48" i="7"/>
  <c r="E48" i="7" s="1"/>
  <c r="H48" i="7"/>
  <c r="F48" i="7" s="1"/>
  <c r="G48" i="7"/>
  <c r="AD47" i="7"/>
  <c r="AC47" i="7"/>
  <c r="X47" i="7"/>
  <c r="W47" i="7"/>
  <c r="R47" i="7"/>
  <c r="Q47" i="7"/>
  <c r="H47" i="7"/>
  <c r="G47" i="7"/>
  <c r="AD46" i="7"/>
  <c r="AC46" i="7"/>
  <c r="X46" i="7"/>
  <c r="W46" i="7"/>
  <c r="R46" i="7"/>
  <c r="U46" i="7"/>
  <c r="P46" i="7"/>
  <c r="N46" i="7"/>
  <c r="M46" i="7"/>
  <c r="L46" i="7"/>
  <c r="H46" i="7" s="1"/>
  <c r="K46" i="7"/>
  <c r="D46" i="7"/>
  <c r="AD45" i="7"/>
  <c r="AC45" i="7"/>
  <c r="X45" i="7"/>
  <c r="W45" i="7"/>
  <c r="R45" i="7"/>
  <c r="Q45" i="7"/>
  <c r="N45" i="7"/>
  <c r="H45" i="7" s="1"/>
  <c r="F45" i="7" s="1"/>
  <c r="M45" i="7"/>
  <c r="L45" i="7"/>
  <c r="K45" i="7"/>
  <c r="G45" i="7" s="1"/>
  <c r="E45" i="7" s="1"/>
  <c r="D45" i="7"/>
  <c r="AD44" i="7"/>
  <c r="AC44" i="7"/>
  <c r="X44" i="7"/>
  <c r="W44" i="7"/>
  <c r="R44" i="7"/>
  <c r="Q44" i="7"/>
  <c r="H44" i="7"/>
  <c r="G44" i="7"/>
  <c r="AD43" i="7"/>
  <c r="AD42" i="7" s="1"/>
  <c r="AC43" i="7"/>
  <c r="AC42" i="7" s="1"/>
  <c r="X43" i="7"/>
  <c r="X42" i="7" s="1"/>
  <c r="W43" i="7"/>
  <c r="R43" i="7"/>
  <c r="Q43" i="7"/>
  <c r="M43" i="7"/>
  <c r="L43" i="7"/>
  <c r="H43" i="7" s="1"/>
  <c r="H42" i="7" s="1"/>
  <c r="K43" i="7"/>
  <c r="G43" i="7" s="1"/>
  <c r="D43" i="7"/>
  <c r="D42" i="7" s="1"/>
  <c r="AH42" i="7"/>
  <c r="AG42" i="7"/>
  <c r="AF42" i="7"/>
  <c r="AE42" i="7"/>
  <c r="AB42" i="7"/>
  <c r="AA42" i="7"/>
  <c r="Z42" i="7"/>
  <c r="Y42" i="7"/>
  <c r="V42" i="7"/>
  <c r="T42" i="7"/>
  <c r="S42" i="7"/>
  <c r="P42" i="7"/>
  <c r="O42" i="7"/>
  <c r="J42" i="7"/>
  <c r="I42" i="7"/>
  <c r="AD41" i="7"/>
  <c r="AC41" i="7"/>
  <c r="X41" i="7"/>
  <c r="W41" i="7"/>
  <c r="V41" i="7"/>
  <c r="R41" i="7" s="1"/>
  <c r="U41" i="7"/>
  <c r="Q41" i="7" s="1"/>
  <c r="H41" i="7"/>
  <c r="G41" i="7"/>
  <c r="D41" i="7"/>
  <c r="AD40" i="7"/>
  <c r="AC40" i="7"/>
  <c r="X40" i="7"/>
  <c r="W40" i="7"/>
  <c r="V40" i="7"/>
  <c r="R40" i="7" s="1"/>
  <c r="U40" i="7"/>
  <c r="Q40" i="7" s="1"/>
  <c r="E40" i="7" s="1"/>
  <c r="H40" i="7"/>
  <c r="G40" i="7"/>
  <c r="D40" i="7"/>
  <c r="AD39" i="7"/>
  <c r="AC39" i="7"/>
  <c r="E39" i="7" s="1"/>
  <c r="X39" i="7"/>
  <c r="X35" i="7" s="1"/>
  <c r="W39" i="7"/>
  <c r="V39" i="7"/>
  <c r="R39" i="7" s="1"/>
  <c r="U39" i="7"/>
  <c r="Q39" i="7"/>
  <c r="H39" i="7"/>
  <c r="F39" i="7" s="1"/>
  <c r="G39" i="7"/>
  <c r="D39" i="7"/>
  <c r="AD38" i="7"/>
  <c r="AC38" i="7"/>
  <c r="X38" i="7"/>
  <c r="W38" i="7"/>
  <c r="V38" i="7"/>
  <c r="R38" i="7" s="1"/>
  <c r="F38" i="7" s="1"/>
  <c r="U38" i="7"/>
  <c r="Q38" i="7" s="1"/>
  <c r="H38" i="7"/>
  <c r="G38" i="7"/>
  <c r="D38" i="7"/>
  <c r="AD37" i="7"/>
  <c r="AC37" i="7"/>
  <c r="X37" i="7"/>
  <c r="W37" i="7"/>
  <c r="R37" i="7"/>
  <c r="F37" i="7" s="1"/>
  <c r="Q37" i="7"/>
  <c r="H37" i="7"/>
  <c r="G37" i="7"/>
  <c r="E37" i="7"/>
  <c r="AD36" i="7"/>
  <c r="AC36" i="7"/>
  <c r="E36" i="7" s="1"/>
  <c r="X36" i="7"/>
  <c r="W36" i="7"/>
  <c r="V36" i="7"/>
  <c r="U36" i="7"/>
  <c r="R36" i="7"/>
  <c r="Q36" i="7"/>
  <c r="N36" i="7"/>
  <c r="M36" i="7"/>
  <c r="L36" i="7"/>
  <c r="H36" i="7" s="1"/>
  <c r="F36" i="7" s="1"/>
  <c r="K36" i="7"/>
  <c r="G36" i="7" s="1"/>
  <c r="D36" i="7"/>
  <c r="AH35" i="7"/>
  <c r="AG35" i="7"/>
  <c r="AF35" i="7"/>
  <c r="AE35" i="7"/>
  <c r="AB35" i="7"/>
  <c r="AA35" i="7"/>
  <c r="Z35" i="7"/>
  <c r="Y35" i="7"/>
  <c r="T35" i="7"/>
  <c r="T29" i="7" s="1"/>
  <c r="S35" i="7"/>
  <c r="P35" i="7"/>
  <c r="O35" i="7"/>
  <c r="O29" i="7" s="1"/>
  <c r="O17" i="7" s="1"/>
  <c r="O16" i="7" s="1"/>
  <c r="O15" i="7" s="1"/>
  <c r="N35" i="7"/>
  <c r="M35" i="7"/>
  <c r="J35" i="7"/>
  <c r="I35" i="7"/>
  <c r="D35" i="7"/>
  <c r="AD34" i="7"/>
  <c r="AD30" i="7" s="1"/>
  <c r="AC34" i="7"/>
  <c r="X34" i="7"/>
  <c r="W34" i="7"/>
  <c r="V34" i="7"/>
  <c r="U34" i="7"/>
  <c r="Q34" i="7" s="1"/>
  <c r="E34" i="7" s="1"/>
  <c r="R34" i="7"/>
  <c r="H34" i="7"/>
  <c r="G34" i="7"/>
  <c r="D34" i="7"/>
  <c r="AD33" i="7"/>
  <c r="AC33" i="7"/>
  <c r="X33" i="7"/>
  <c r="W33" i="7"/>
  <c r="V33" i="7"/>
  <c r="R33" i="7" s="1"/>
  <c r="U33" i="7"/>
  <c r="Q33" i="7" s="1"/>
  <c r="H33" i="7"/>
  <c r="G33" i="7"/>
  <c r="D33" i="7"/>
  <c r="AD32" i="7"/>
  <c r="AC32" i="7"/>
  <c r="X32" i="7"/>
  <c r="W32" i="7"/>
  <c r="R32" i="7"/>
  <c r="F32" i="7" s="1"/>
  <c r="Q32" i="7"/>
  <c r="H32" i="7"/>
  <c r="G32" i="7"/>
  <c r="AD31" i="7"/>
  <c r="AC31" i="7"/>
  <c r="AC30" i="7" s="1"/>
  <c r="X31" i="7"/>
  <c r="X30" i="7" s="1"/>
  <c r="W31" i="7"/>
  <c r="W30" i="7" s="1"/>
  <c r="V31" i="7"/>
  <c r="R31" i="7" s="1"/>
  <c r="U31" i="7"/>
  <c r="U30" i="7" s="1"/>
  <c r="H31" i="7"/>
  <c r="G31" i="7"/>
  <c r="D31" i="7"/>
  <c r="AH30" i="7"/>
  <c r="AG30" i="7"/>
  <c r="AF30" i="7"/>
  <c r="AE30" i="7"/>
  <c r="AB30" i="7"/>
  <c r="AB29" i="7" s="1"/>
  <c r="AA30" i="7"/>
  <c r="AA29" i="7" s="1"/>
  <c r="Z30" i="7"/>
  <c r="Z29" i="7" s="1"/>
  <c r="Y30" i="7"/>
  <c r="T30" i="7"/>
  <c r="S30" i="7"/>
  <c r="P30" i="7"/>
  <c r="P29" i="7" s="1"/>
  <c r="O30" i="7"/>
  <c r="N30" i="7"/>
  <c r="N29" i="7" s="1"/>
  <c r="M30" i="7"/>
  <c r="M29" i="7" s="1"/>
  <c r="L30" i="7"/>
  <c r="K30" i="7"/>
  <c r="J30" i="7"/>
  <c r="J29" i="7" s="1"/>
  <c r="I30" i="7"/>
  <c r="H30" i="7"/>
  <c r="D30" i="7"/>
  <c r="D29" i="7" s="1"/>
  <c r="AH29" i="7"/>
  <c r="AE29" i="7"/>
  <c r="S29" i="7"/>
  <c r="AD28" i="7"/>
  <c r="AC28" i="7"/>
  <c r="X28" i="7"/>
  <c r="W28" i="7"/>
  <c r="R28" i="7"/>
  <c r="Q28" i="7"/>
  <c r="H28" i="7"/>
  <c r="G28" i="7"/>
  <c r="E28" i="7" s="1"/>
  <c r="F28" i="7"/>
  <c r="AD27" i="7"/>
  <c r="AC27" i="7"/>
  <c r="X27" i="7"/>
  <c r="W27" i="7"/>
  <c r="R27" i="7"/>
  <c r="Q27" i="7"/>
  <c r="N27" i="7"/>
  <c r="M27" i="7"/>
  <c r="L27" i="7"/>
  <c r="K27" i="7"/>
  <c r="D27" i="7"/>
  <c r="AD26" i="7"/>
  <c r="AC26" i="7"/>
  <c r="X26" i="7"/>
  <c r="X25" i="7" s="1"/>
  <c r="W26" i="7"/>
  <c r="W25" i="7" s="1"/>
  <c r="R26" i="7"/>
  <c r="R25" i="7" s="1"/>
  <c r="Q26" i="7"/>
  <c r="N26" i="7"/>
  <c r="M26" i="7"/>
  <c r="L26" i="7"/>
  <c r="L25" i="7" s="1"/>
  <c r="K26" i="7"/>
  <c r="K25" i="7" s="1"/>
  <c r="D26" i="7"/>
  <c r="AH25" i="7"/>
  <c r="AG25" i="7"/>
  <c r="AF25" i="7"/>
  <c r="AE25" i="7"/>
  <c r="AB25" i="7"/>
  <c r="AA25" i="7"/>
  <c r="Z25" i="7"/>
  <c r="Y25" i="7"/>
  <c r="V25" i="7"/>
  <c r="U25" i="7"/>
  <c r="T25" i="7"/>
  <c r="S25" i="7"/>
  <c r="P25" i="7"/>
  <c r="O25" i="7"/>
  <c r="J25" i="7"/>
  <c r="I25" i="7"/>
  <c r="AD24" i="7"/>
  <c r="AC24" i="7"/>
  <c r="X24" i="7"/>
  <c r="W24" i="7"/>
  <c r="R24" i="7"/>
  <c r="Q24" i="7"/>
  <c r="M24" i="7"/>
  <c r="L24" i="7"/>
  <c r="H24" i="7" s="1"/>
  <c r="K24" i="7"/>
  <c r="D24" i="7"/>
  <c r="AD23" i="7"/>
  <c r="AC23" i="7"/>
  <c r="X23" i="7"/>
  <c r="W23" i="7"/>
  <c r="R23" i="7"/>
  <c r="Q23" i="7"/>
  <c r="M23" i="7"/>
  <c r="L23" i="7"/>
  <c r="H23" i="7" s="1"/>
  <c r="K23" i="7"/>
  <c r="G23" i="7"/>
  <c r="F23" i="7"/>
  <c r="D23" i="7"/>
  <c r="AD22" i="7"/>
  <c r="AC22" i="7"/>
  <c r="X22" i="7"/>
  <c r="W22" i="7"/>
  <c r="R22" i="7"/>
  <c r="Q22" i="7"/>
  <c r="M22" i="7"/>
  <c r="L22" i="7"/>
  <c r="H22" i="7" s="1"/>
  <c r="K22" i="7"/>
  <c r="D22" i="7"/>
  <c r="AH21" i="7"/>
  <c r="AG21" i="7"/>
  <c r="AF21" i="7"/>
  <c r="AE21" i="7"/>
  <c r="AE17" i="7" s="1"/>
  <c r="AE16" i="7" s="1"/>
  <c r="AE15" i="7" s="1"/>
  <c r="AB21" i="7"/>
  <c r="AA21" i="7"/>
  <c r="AA17" i="7" s="1"/>
  <c r="AA16" i="7" s="1"/>
  <c r="AA15" i="7" s="1"/>
  <c r="Z21" i="7"/>
  <c r="Y21" i="7"/>
  <c r="V21" i="7"/>
  <c r="U21" i="7"/>
  <c r="T21" i="7"/>
  <c r="S21" i="7"/>
  <c r="P21" i="7"/>
  <c r="O21" i="7"/>
  <c r="N21" i="7"/>
  <c r="M21" i="7"/>
  <c r="K21" i="7"/>
  <c r="J21" i="7"/>
  <c r="I21" i="7"/>
  <c r="R20" i="7"/>
  <c r="F20" i="7" s="1"/>
  <c r="Q20" i="7"/>
  <c r="H20" i="7"/>
  <c r="G20" i="7"/>
  <c r="E20" i="7" s="1"/>
  <c r="R19" i="7"/>
  <c r="Q19" i="7"/>
  <c r="Q18" i="7" s="1"/>
  <c r="P19" i="7"/>
  <c r="M19" i="7"/>
  <c r="L19" i="7"/>
  <c r="L18" i="7" s="1"/>
  <c r="K19" i="7"/>
  <c r="K18" i="7" s="1"/>
  <c r="J19" i="7"/>
  <c r="G19" i="7"/>
  <c r="G18" i="7" s="1"/>
  <c r="D19" i="7"/>
  <c r="D18" i="7" s="1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P18" i="7"/>
  <c r="O18" i="7"/>
  <c r="N18" i="7"/>
  <c r="M18" i="7"/>
  <c r="I18" i="7"/>
  <c r="H14" i="7"/>
  <c r="F14" i="7" s="1"/>
  <c r="F13" i="7" s="1"/>
  <c r="F12" i="7" s="1"/>
  <c r="F11" i="7" s="1"/>
  <c r="G14" i="7"/>
  <c r="AH13" i="7"/>
  <c r="AH12" i="7" s="1"/>
  <c r="AH11" i="7" s="1"/>
  <c r="AG13" i="7"/>
  <c r="AG12" i="7" s="1"/>
  <c r="AG11" i="7" s="1"/>
  <c r="AF13" i="7"/>
  <c r="AF12" i="7" s="1"/>
  <c r="AF11" i="7" s="1"/>
  <c r="AE13" i="7"/>
  <c r="AD13" i="7"/>
  <c r="AD12" i="7" s="1"/>
  <c r="AD11" i="7" s="1"/>
  <c r="AC13" i="7"/>
  <c r="AB13" i="7"/>
  <c r="AB12" i="7" s="1"/>
  <c r="AB11" i="7" s="1"/>
  <c r="AA13" i="7"/>
  <c r="Z13" i="7"/>
  <c r="Z12" i="7" s="1"/>
  <c r="Y13" i="7"/>
  <c r="X13" i="7"/>
  <c r="W13" i="7"/>
  <c r="W12" i="7" s="1"/>
  <c r="W11" i="7" s="1"/>
  <c r="V13" i="7"/>
  <c r="V12" i="7" s="1"/>
  <c r="V11" i="7" s="1"/>
  <c r="U13" i="7"/>
  <c r="U12" i="7" s="1"/>
  <c r="U11" i="7" s="1"/>
  <c r="T13" i="7"/>
  <c r="T12" i="7" s="1"/>
  <c r="T11" i="7" s="1"/>
  <c r="S13" i="7"/>
  <c r="S12" i="7" s="1"/>
  <c r="S11" i="7" s="1"/>
  <c r="R13" i="7"/>
  <c r="R12" i="7" s="1"/>
  <c r="R11" i="7" s="1"/>
  <c r="Q13" i="7"/>
  <c r="Q12" i="7" s="1"/>
  <c r="Q11" i="7" s="1"/>
  <c r="P13" i="7"/>
  <c r="P12" i="7" s="1"/>
  <c r="P11" i="7" s="1"/>
  <c r="O13" i="7"/>
  <c r="N13" i="7"/>
  <c r="N12" i="7" s="1"/>
  <c r="M13" i="7"/>
  <c r="L13" i="7"/>
  <c r="K13" i="7"/>
  <c r="K12" i="7" s="1"/>
  <c r="K11" i="7" s="1"/>
  <c r="J13" i="7"/>
  <c r="J12" i="7" s="1"/>
  <c r="J11" i="7" s="1"/>
  <c r="I13" i="7"/>
  <c r="D13" i="7"/>
  <c r="D12" i="7" s="1"/>
  <c r="D11" i="7" s="1"/>
  <c r="AE12" i="7"/>
  <c r="AE11" i="7" s="1"/>
  <c r="AC12" i="7"/>
  <c r="AC11" i="7" s="1"/>
  <c r="AA12" i="7"/>
  <c r="AA11" i="7" s="1"/>
  <c r="Y12" i="7"/>
  <c r="Y11" i="7" s="1"/>
  <c r="X12" i="7"/>
  <c r="X11" i="7" s="1"/>
  <c r="O12" i="7"/>
  <c r="O11" i="7" s="1"/>
  <c r="M12" i="7"/>
  <c r="M11" i="7" s="1"/>
  <c r="L12" i="7"/>
  <c r="L11" i="7" s="1"/>
  <c r="I12" i="7"/>
  <c r="I11" i="7" s="1"/>
  <c r="Z11" i="7"/>
  <c r="N11" i="7"/>
  <c r="AD100" i="7" l="1"/>
  <c r="G72" i="7"/>
  <c r="F90" i="7"/>
  <c r="F112" i="7"/>
  <c r="X100" i="7"/>
  <c r="F136" i="7"/>
  <c r="F135" i="7" s="1"/>
  <c r="X29" i="7"/>
  <c r="X17" i="7" s="1"/>
  <c r="X16" i="7" s="1"/>
  <c r="X15" i="7" s="1"/>
  <c r="AC101" i="7"/>
  <c r="L21" i="7"/>
  <c r="L17" i="7" s="1"/>
  <c r="L16" i="7" s="1"/>
  <c r="L15" i="7" s="1"/>
  <c r="I29" i="7"/>
  <c r="I17" i="7" s="1"/>
  <c r="I16" i="7" s="1"/>
  <c r="I15" i="7" s="1"/>
  <c r="F33" i="7"/>
  <c r="E44" i="7"/>
  <c r="H64" i="7"/>
  <c r="F64" i="7" s="1"/>
  <c r="L70" i="7"/>
  <c r="AG69" i="7"/>
  <c r="AG68" i="7" s="1"/>
  <c r="AG67" i="7" s="1"/>
  <c r="E93" i="7"/>
  <c r="E115" i="7"/>
  <c r="AD113" i="7"/>
  <c r="G121" i="7"/>
  <c r="D21" i="7"/>
  <c r="L35" i="7"/>
  <c r="L29" i="7" s="1"/>
  <c r="W42" i="7"/>
  <c r="F62" i="7"/>
  <c r="W70" i="7"/>
  <c r="Z69" i="7"/>
  <c r="Z68" i="7" s="1"/>
  <c r="Z67" i="7" s="1"/>
  <c r="X70" i="7"/>
  <c r="X85" i="7"/>
  <c r="R94" i="7"/>
  <c r="H121" i="7"/>
  <c r="G130" i="7"/>
  <c r="E130" i="7" s="1"/>
  <c r="X126" i="7"/>
  <c r="X125" i="7" s="1"/>
  <c r="AE10" i="7"/>
  <c r="E47" i="7"/>
  <c r="H89" i="7"/>
  <c r="F89" i="7" s="1"/>
  <c r="F106" i="7"/>
  <c r="L109" i="7"/>
  <c r="E117" i="7"/>
  <c r="M126" i="7"/>
  <c r="M125" i="7" s="1"/>
  <c r="H135" i="7"/>
  <c r="G22" i="7"/>
  <c r="G27" i="7"/>
  <c r="E27" i="7" s="1"/>
  <c r="AF29" i="7"/>
  <c r="E32" i="7"/>
  <c r="G35" i="7"/>
  <c r="F47" i="7"/>
  <c r="E53" i="7"/>
  <c r="H61" i="7"/>
  <c r="W63" i="7"/>
  <c r="AC70" i="7"/>
  <c r="AD72" i="7"/>
  <c r="N107" i="7"/>
  <c r="K119" i="7"/>
  <c r="Q126" i="7"/>
  <c r="Q125" i="7" s="1"/>
  <c r="K126" i="7"/>
  <c r="K125" i="7" s="1"/>
  <c r="H13" i="7"/>
  <c r="H12" i="7" s="1"/>
  <c r="H11" i="7" s="1"/>
  <c r="Z17" i="7"/>
  <c r="Z16" i="7" s="1"/>
  <c r="Z15" i="7" s="1"/>
  <c r="Z10" i="7" s="1"/>
  <c r="X21" i="7"/>
  <c r="AD25" i="7"/>
  <c r="N42" i="7"/>
  <c r="K49" i="7"/>
  <c r="E57" i="7"/>
  <c r="G74" i="7"/>
  <c r="E74" i="7" s="1"/>
  <c r="AD94" i="7"/>
  <c r="E97" i="7"/>
  <c r="H129" i="7"/>
  <c r="F129" i="7" s="1"/>
  <c r="E132" i="7"/>
  <c r="X63" i="7"/>
  <c r="Q21" i="7"/>
  <c r="D25" i="7"/>
  <c r="D17" i="7" s="1"/>
  <c r="D16" i="7" s="1"/>
  <c r="D15" i="7" s="1"/>
  <c r="H27" i="7"/>
  <c r="F27" i="7" s="1"/>
  <c r="R78" i="7"/>
  <c r="G92" i="7"/>
  <c r="E92" i="7" s="1"/>
  <c r="L107" i="7"/>
  <c r="R109" i="7"/>
  <c r="R107" i="7" s="1"/>
  <c r="E114" i="7"/>
  <c r="E113" i="7" s="1"/>
  <c r="H62" i="7"/>
  <c r="W21" i="7"/>
  <c r="AB17" i="7"/>
  <c r="AB16" i="7" s="1"/>
  <c r="AB15" i="7" s="1"/>
  <c r="R21" i="7"/>
  <c r="F34" i="7"/>
  <c r="Q35" i="7"/>
  <c r="AC35" i="7"/>
  <c r="AC29" i="7" s="1"/>
  <c r="AC17" i="7" s="1"/>
  <c r="AC16" i="7" s="1"/>
  <c r="AC15" i="7" s="1"/>
  <c r="K42" i="7"/>
  <c r="L49" i="7"/>
  <c r="AF69" i="7"/>
  <c r="AF68" i="7" s="1"/>
  <c r="AF67" i="7" s="1"/>
  <c r="V70" i="7"/>
  <c r="E96" i="7"/>
  <c r="E94" i="7" s="1"/>
  <c r="Q94" i="7"/>
  <c r="M107" i="7"/>
  <c r="F114" i="7"/>
  <c r="E116" i="7"/>
  <c r="U126" i="7"/>
  <c r="U125" i="7" s="1"/>
  <c r="AG29" i="7"/>
  <c r="AG17" i="7" s="1"/>
  <c r="AG16" i="7" s="1"/>
  <c r="AG15" i="7" s="1"/>
  <c r="AG10" i="7" s="1"/>
  <c r="L42" i="7"/>
  <c r="X49" i="7"/>
  <c r="M49" i="7"/>
  <c r="E65" i="7"/>
  <c r="D72" i="7"/>
  <c r="D70" i="7" s="1"/>
  <c r="H74" i="7"/>
  <c r="F74" i="7" s="1"/>
  <c r="AD78" i="7"/>
  <c r="D85" i="7"/>
  <c r="F92" i="7"/>
  <c r="H96" i="7"/>
  <c r="F96" i="7" s="1"/>
  <c r="F94" i="7" s="1"/>
  <c r="E101" i="7"/>
  <c r="E100" i="7" s="1"/>
  <c r="AM103" i="7"/>
  <c r="E105" i="7"/>
  <c r="E104" i="7" s="1"/>
  <c r="AC109" i="7"/>
  <c r="AC107" i="7" s="1"/>
  <c r="AD126" i="7"/>
  <c r="AD125" i="7" s="1"/>
  <c r="F132" i="7"/>
  <c r="AB10" i="7"/>
  <c r="Q31" i="7"/>
  <c r="M42" i="7"/>
  <c r="AC49" i="7"/>
  <c r="AA78" i="7"/>
  <c r="F81" i="7"/>
  <c r="E87" i="7"/>
  <c r="AC85" i="7"/>
  <c r="E91" i="7"/>
  <c r="F105" i="7"/>
  <c r="F104" i="7" s="1"/>
  <c r="AD109" i="7"/>
  <c r="AD107" i="7" s="1"/>
  <c r="E112" i="7"/>
  <c r="R113" i="7"/>
  <c r="E118" i="7"/>
  <c r="D126" i="7"/>
  <c r="D125" i="7" s="1"/>
  <c r="G131" i="7"/>
  <c r="E131" i="7" s="1"/>
  <c r="T17" i="7"/>
  <c r="T16" i="7" s="1"/>
  <c r="T15" i="7" s="1"/>
  <c r="T10" i="7" s="1"/>
  <c r="AC21" i="7"/>
  <c r="G24" i="7"/>
  <c r="E24" i="7" s="1"/>
  <c r="E38" i="7"/>
  <c r="E35" i="7" s="1"/>
  <c r="AD49" i="7"/>
  <c r="E60" i="7"/>
  <c r="E73" i="7"/>
  <c r="E72" i="7" s="1"/>
  <c r="AR103" i="7"/>
  <c r="AC104" i="7"/>
  <c r="W113" i="7"/>
  <c r="E122" i="7"/>
  <c r="E121" i="7" s="1"/>
  <c r="H131" i="7"/>
  <c r="F134" i="7"/>
  <c r="AF17" i="7"/>
  <c r="AF16" i="7" s="1"/>
  <c r="AF15" i="7" s="1"/>
  <c r="AF10" i="7" s="1"/>
  <c r="AC25" i="7"/>
  <c r="V30" i="7"/>
  <c r="E51" i="7"/>
  <c r="E77" i="7"/>
  <c r="F88" i="7"/>
  <c r="E98" i="7"/>
  <c r="T69" i="7"/>
  <c r="T68" i="7" s="1"/>
  <c r="T67" i="7" s="1"/>
  <c r="R104" i="7"/>
  <c r="R100" i="7" s="1"/>
  <c r="E111" i="7"/>
  <c r="E134" i="7"/>
  <c r="Y29" i="7"/>
  <c r="Y17" i="7" s="1"/>
  <c r="Y16" i="7" s="1"/>
  <c r="Y15" i="7" s="1"/>
  <c r="F41" i="7"/>
  <c r="G62" i="7"/>
  <c r="E62" i="7" s="1"/>
  <c r="M72" i="7"/>
  <c r="M70" i="7" s="1"/>
  <c r="E83" i="7"/>
  <c r="F98" i="7"/>
  <c r="D100" i="7"/>
  <c r="F111" i="7"/>
  <c r="Q121" i="7"/>
  <c r="H128" i="7"/>
  <c r="AC126" i="7"/>
  <c r="AC125" i="7" s="1"/>
  <c r="E136" i="7"/>
  <c r="E135" i="7" s="1"/>
  <c r="R126" i="7"/>
  <c r="R125" i="7" s="1"/>
  <c r="F46" i="7"/>
  <c r="H29" i="7"/>
  <c r="H19" i="7"/>
  <c r="J18" i="7"/>
  <c r="J17" i="7" s="1"/>
  <c r="J16" i="7" s="1"/>
  <c r="J15" i="7" s="1"/>
  <c r="F40" i="7"/>
  <c r="F35" i="7" s="1"/>
  <c r="S49" i="7"/>
  <c r="S17" i="7" s="1"/>
  <c r="S16" i="7" s="1"/>
  <c r="S15" i="7" s="1"/>
  <c r="S10" i="7" s="1"/>
  <c r="Q58" i="7"/>
  <c r="E58" i="7" s="1"/>
  <c r="E23" i="7"/>
  <c r="G30" i="7"/>
  <c r="W35" i="7"/>
  <c r="W29" i="7" s="1"/>
  <c r="E41" i="7"/>
  <c r="AD85" i="7"/>
  <c r="J72" i="7"/>
  <c r="J70" i="7" s="1"/>
  <c r="J69" i="7" s="1"/>
  <c r="J68" i="7" s="1"/>
  <c r="J67" i="7" s="1"/>
  <c r="H73" i="7"/>
  <c r="H35" i="7"/>
  <c r="F44" i="7"/>
  <c r="R42" i="7"/>
  <c r="L100" i="7"/>
  <c r="H102" i="7"/>
  <c r="F102" i="7" s="1"/>
  <c r="M17" i="7"/>
  <c r="M16" i="7" s="1"/>
  <c r="M15" i="7" s="1"/>
  <c r="F31" i="7"/>
  <c r="F30" i="7" s="1"/>
  <c r="AH17" i="7"/>
  <c r="AH16" i="7" s="1"/>
  <c r="AH15" i="7" s="1"/>
  <c r="Q30" i="7"/>
  <c r="Q29" i="7" s="1"/>
  <c r="U42" i="7"/>
  <c r="Q46" i="7"/>
  <c r="Q42" i="7" s="1"/>
  <c r="D49" i="7"/>
  <c r="H52" i="7"/>
  <c r="F52" i="7" s="1"/>
  <c r="P49" i="7"/>
  <c r="P17" i="7" s="1"/>
  <c r="P16" i="7" s="1"/>
  <c r="P15" i="7" s="1"/>
  <c r="E71" i="7"/>
  <c r="E70" i="7" s="1"/>
  <c r="G70" i="7"/>
  <c r="H87" i="7"/>
  <c r="P85" i="7"/>
  <c r="P69" i="7" s="1"/>
  <c r="P68" i="7" s="1"/>
  <c r="P67" i="7" s="1"/>
  <c r="AC94" i="7"/>
  <c r="AC63" i="7"/>
  <c r="E66" i="7"/>
  <c r="F24" i="7"/>
  <c r="G26" i="7"/>
  <c r="M25" i="7"/>
  <c r="R30" i="7"/>
  <c r="U35" i="7"/>
  <c r="U29" i="7" s="1"/>
  <c r="U17" i="7" s="1"/>
  <c r="U16" i="7" s="1"/>
  <c r="U15" i="7" s="1"/>
  <c r="E43" i="7"/>
  <c r="F50" i="7"/>
  <c r="E52" i="7"/>
  <c r="H59" i="7"/>
  <c r="F59" i="7" s="1"/>
  <c r="F61" i="7"/>
  <c r="E31" i="7"/>
  <c r="E19" i="7"/>
  <c r="E18" i="7" s="1"/>
  <c r="H26" i="7"/>
  <c r="N25" i="7"/>
  <c r="E82" i="7"/>
  <c r="G78" i="7"/>
  <c r="G13" i="7"/>
  <c r="G12" i="7" s="1"/>
  <c r="G11" i="7" s="1"/>
  <c r="E14" i="7"/>
  <c r="E13" i="7" s="1"/>
  <c r="E12" i="7" s="1"/>
  <c r="E11" i="7" s="1"/>
  <c r="H21" i="7"/>
  <c r="F22" i="7"/>
  <c r="F21" i="7" s="1"/>
  <c r="E33" i="7"/>
  <c r="R18" i="7"/>
  <c r="AD21" i="7"/>
  <c r="Q25" i="7"/>
  <c r="R35" i="7"/>
  <c r="AD35" i="7"/>
  <c r="AD29" i="7" s="1"/>
  <c r="O69" i="7"/>
  <c r="O68" i="7" s="1"/>
  <c r="O67" i="7" s="1"/>
  <c r="O10" i="7" s="1"/>
  <c r="E81" i="7"/>
  <c r="Q78" i="7"/>
  <c r="M69" i="7"/>
  <c r="F77" i="7"/>
  <c r="L85" i="7"/>
  <c r="W94" i="7"/>
  <c r="Q100" i="7"/>
  <c r="G102" i="7"/>
  <c r="E102" i="7" s="1"/>
  <c r="I100" i="7"/>
  <c r="I69" i="7" s="1"/>
  <c r="I68" i="7" s="1"/>
  <c r="I67" i="7" s="1"/>
  <c r="I10" i="7" s="1"/>
  <c r="H109" i="7"/>
  <c r="K35" i="7"/>
  <c r="K29" i="7" s="1"/>
  <c r="F43" i="7"/>
  <c r="G46" i="7"/>
  <c r="R58" i="7"/>
  <c r="AD63" i="7"/>
  <c r="AD70" i="7"/>
  <c r="H76" i="7"/>
  <c r="F76" i="7" s="1"/>
  <c r="X78" i="7"/>
  <c r="E84" i="7"/>
  <c r="F131" i="7"/>
  <c r="Y69" i="7"/>
  <c r="Y68" i="7" s="1"/>
  <c r="Y67" i="7" s="1"/>
  <c r="E86" i="7"/>
  <c r="H126" i="7"/>
  <c r="H125" i="7" s="1"/>
  <c r="F128" i="7"/>
  <c r="V35" i="7"/>
  <c r="U69" i="7"/>
  <c r="F75" i="7"/>
  <c r="E79" i="7"/>
  <c r="AC78" i="7"/>
  <c r="H82" i="7"/>
  <c r="F82" i="7" s="1"/>
  <c r="L78" i="7"/>
  <c r="D78" i="7"/>
  <c r="D69" i="7" s="1"/>
  <c r="D68" i="7" s="1"/>
  <c r="D67" i="7" s="1"/>
  <c r="F86" i="7"/>
  <c r="G94" i="7"/>
  <c r="AH100" i="7"/>
  <c r="AH69" i="7" s="1"/>
  <c r="AH68" i="7" s="1"/>
  <c r="AH67" i="7" s="1"/>
  <c r="Q109" i="7"/>
  <c r="Q107" i="7" s="1"/>
  <c r="F66" i="7"/>
  <c r="R70" i="7"/>
  <c r="R69" i="7" s="1"/>
  <c r="F79" i="7"/>
  <c r="G88" i="7"/>
  <c r="E88" i="7" s="1"/>
  <c r="K85" i="7"/>
  <c r="W90" i="7"/>
  <c r="E90" i="7" s="1"/>
  <c r="AA85" i="7"/>
  <c r="AA69" i="7" s="1"/>
  <c r="AA68" i="7" s="1"/>
  <c r="AA67" i="7" s="1"/>
  <c r="AA10" i="7" s="1"/>
  <c r="F97" i="7"/>
  <c r="N72" i="7"/>
  <c r="N70" i="7" s="1"/>
  <c r="N69" i="7" s="1"/>
  <c r="N68" i="7" s="1"/>
  <c r="N67" i="7" s="1"/>
  <c r="F83" i="7"/>
  <c r="R85" i="7"/>
  <c r="G119" i="7"/>
  <c r="E120" i="7"/>
  <c r="E119" i="7" s="1"/>
  <c r="G64" i="7"/>
  <c r="K63" i="7"/>
  <c r="Q70" i="7"/>
  <c r="E80" i="7"/>
  <c r="F101" i="7"/>
  <c r="H100" i="7"/>
  <c r="W100" i="7"/>
  <c r="G109" i="7"/>
  <c r="E110" i="7"/>
  <c r="E109" i="7" s="1"/>
  <c r="F116" i="7"/>
  <c r="F113" i="7" s="1"/>
  <c r="H113" i="7"/>
  <c r="F120" i="7"/>
  <c r="F119" i="7" s="1"/>
  <c r="H119" i="7"/>
  <c r="G108" i="7"/>
  <c r="F122" i="7"/>
  <c r="F121" i="7" s="1"/>
  <c r="L126" i="7"/>
  <c r="L125" i="7" s="1"/>
  <c r="F127" i="7"/>
  <c r="F126" i="7" s="1"/>
  <c r="F125" i="7" s="1"/>
  <c r="H108" i="7"/>
  <c r="G129" i="7"/>
  <c r="K70" i="7"/>
  <c r="G104" i="7"/>
  <c r="X110" i="7"/>
  <c r="X109" i="7" s="1"/>
  <c r="X107" i="7" s="1"/>
  <c r="G113" i="7"/>
  <c r="V126" i="7"/>
  <c r="V125" i="7" s="1"/>
  <c r="G135" i="7"/>
  <c r="L119" i="7"/>
  <c r="U109" i="7"/>
  <c r="U107" i="7" s="1"/>
  <c r="H140" i="7"/>
  <c r="H139" i="7" s="1"/>
  <c r="H138" i="7" s="1"/>
  <c r="H137" i="7" s="1"/>
  <c r="V109" i="7"/>
  <c r="V107" i="7" s="1"/>
  <c r="D10" i="7" l="1"/>
  <c r="E22" i="7"/>
  <c r="E21" i="7" s="1"/>
  <c r="G21" i="7"/>
  <c r="V69" i="7"/>
  <c r="G100" i="7"/>
  <c r="H94" i="7"/>
  <c r="G49" i="7"/>
  <c r="Y10" i="7"/>
  <c r="X69" i="7"/>
  <c r="X68" i="7" s="1"/>
  <c r="X67" i="7" s="1"/>
  <c r="X10" i="7" s="1"/>
  <c r="M68" i="7"/>
  <c r="M67" i="7" s="1"/>
  <c r="E49" i="7"/>
  <c r="AH10" i="7"/>
  <c r="G29" i="7"/>
  <c r="AC100" i="7"/>
  <c r="AC69" i="7" s="1"/>
  <c r="AC68" i="7" s="1"/>
  <c r="AC67" i="7" s="1"/>
  <c r="AC10" i="7" s="1"/>
  <c r="W17" i="7"/>
  <c r="W16" i="7" s="1"/>
  <c r="W15" i="7" s="1"/>
  <c r="L69" i="7"/>
  <c r="L68" i="7" s="1"/>
  <c r="L67" i="7" s="1"/>
  <c r="L10" i="7" s="1"/>
  <c r="Q49" i="7"/>
  <c r="H49" i="7"/>
  <c r="AD69" i="7"/>
  <c r="AD68" i="7" s="1"/>
  <c r="AD67" i="7" s="1"/>
  <c r="N17" i="7"/>
  <c r="N16" i="7" s="1"/>
  <c r="N15" i="7" s="1"/>
  <c r="N10" i="7" s="1"/>
  <c r="F100" i="7"/>
  <c r="K17" i="7"/>
  <c r="K16" i="7" s="1"/>
  <c r="K15" i="7" s="1"/>
  <c r="E30" i="7"/>
  <c r="E29" i="7" s="1"/>
  <c r="Q69" i="7"/>
  <c r="Q68" i="7" s="1"/>
  <c r="Q67" i="7" s="1"/>
  <c r="V29" i="7"/>
  <c r="V17" i="7" s="1"/>
  <c r="V16" i="7" s="1"/>
  <c r="V15" i="7" s="1"/>
  <c r="Q17" i="7"/>
  <c r="Q16" i="7" s="1"/>
  <c r="Q15" i="7" s="1"/>
  <c r="Q10" i="7" s="1"/>
  <c r="H63" i="7"/>
  <c r="M10" i="7"/>
  <c r="U68" i="7"/>
  <c r="U67" i="7" s="1"/>
  <c r="U10" i="7" s="1"/>
  <c r="R68" i="7"/>
  <c r="R67" i="7" s="1"/>
  <c r="V68" i="7"/>
  <c r="V67" i="7" s="1"/>
  <c r="V10" i="7" s="1"/>
  <c r="AD17" i="7"/>
  <c r="AD16" i="7" s="1"/>
  <c r="AD15" i="7" s="1"/>
  <c r="J10" i="7"/>
  <c r="P10" i="7"/>
  <c r="E108" i="7"/>
  <c r="E107" i="7" s="1"/>
  <c r="G107" i="7"/>
  <c r="E64" i="7"/>
  <c r="E63" i="7" s="1"/>
  <c r="G63" i="7"/>
  <c r="F78" i="7"/>
  <c r="F87" i="7"/>
  <c r="H85" i="7"/>
  <c r="F85" i="7"/>
  <c r="E46" i="7"/>
  <c r="E42" i="7" s="1"/>
  <c r="F26" i="7"/>
  <c r="F25" i="7" s="1"/>
  <c r="H25" i="7"/>
  <c r="K69" i="7"/>
  <c r="K68" i="7" s="1"/>
  <c r="K67" i="7" s="1"/>
  <c r="K10" i="7" s="1"/>
  <c r="W85" i="7"/>
  <c r="W69" i="7" s="1"/>
  <c r="W68" i="7" s="1"/>
  <c r="W67" i="7" s="1"/>
  <c r="W10" i="7" s="1"/>
  <c r="H78" i="7"/>
  <c r="F42" i="7"/>
  <c r="E129" i="7"/>
  <c r="E126" i="7" s="1"/>
  <c r="E125" i="7" s="1"/>
  <c r="G126" i="7"/>
  <c r="G125" i="7" s="1"/>
  <c r="F58" i="7"/>
  <c r="F49" i="7" s="1"/>
  <c r="R49" i="7"/>
  <c r="F108" i="7"/>
  <c r="F107" i="7" s="1"/>
  <c r="H107" i="7"/>
  <c r="G42" i="7"/>
  <c r="F73" i="7"/>
  <c r="F72" i="7" s="1"/>
  <c r="F70" i="7" s="1"/>
  <c r="H72" i="7"/>
  <c r="H70" i="7" s="1"/>
  <c r="E78" i="7"/>
  <c r="E85" i="7"/>
  <c r="E69" i="7" s="1"/>
  <c r="E68" i="7" s="1"/>
  <c r="E67" i="7" s="1"/>
  <c r="R29" i="7"/>
  <c r="R17" i="7" s="1"/>
  <c r="R16" i="7" s="1"/>
  <c r="R15" i="7" s="1"/>
  <c r="R10" i="7" s="1"/>
  <c r="F63" i="7"/>
  <c r="F19" i="7"/>
  <c r="F18" i="7" s="1"/>
  <c r="H18" i="7"/>
  <c r="G85" i="7"/>
  <c r="G69" i="7" s="1"/>
  <c r="F110" i="7"/>
  <c r="F109" i="7" s="1"/>
  <c r="F29" i="7"/>
  <c r="G25" i="7"/>
  <c r="E26" i="7"/>
  <c r="E25" i="7" s="1"/>
  <c r="E17" i="7" l="1"/>
  <c r="E16" i="7" s="1"/>
  <c r="E15" i="7" s="1"/>
  <c r="E10" i="7" s="1"/>
  <c r="H17" i="7"/>
  <c r="H16" i="7" s="1"/>
  <c r="H15" i="7" s="1"/>
  <c r="AD10" i="7"/>
  <c r="G17" i="7"/>
  <c r="G16" i="7" s="1"/>
  <c r="G15" i="7" s="1"/>
  <c r="G68" i="7"/>
  <c r="G67" i="7" s="1"/>
  <c r="H69" i="7"/>
  <c r="H68" i="7" s="1"/>
  <c r="H67" i="7" s="1"/>
  <c r="H10" i="7" s="1"/>
  <c r="F69" i="7"/>
  <c r="F68" i="7" s="1"/>
  <c r="F67" i="7" s="1"/>
  <c r="F17" i="7"/>
  <c r="F16" i="7" s="1"/>
  <c r="F15" i="7" s="1"/>
  <c r="F10" i="7" s="1"/>
  <c r="G10" i="7" l="1"/>
  <c r="AF35" i="3" l="1"/>
  <c r="AE35" i="3"/>
  <c r="Z35" i="3"/>
  <c r="Y35" i="3"/>
  <c r="T35" i="3"/>
  <c r="S35" i="3"/>
  <c r="J35" i="3"/>
  <c r="I35" i="3"/>
  <c r="AF34" i="3"/>
  <c r="AE34" i="3"/>
  <c r="Z34" i="3"/>
  <c r="Y34" i="3"/>
  <c r="T34" i="3"/>
  <c r="S34" i="3"/>
  <c r="J34" i="3"/>
  <c r="I34" i="3"/>
  <c r="G34" i="3" s="1"/>
  <c r="AF33" i="3"/>
  <c r="AE33" i="3"/>
  <c r="Z33" i="3"/>
  <c r="Y33" i="3"/>
  <c r="T33" i="3"/>
  <c r="S33" i="3"/>
  <c r="J33" i="3"/>
  <c r="I33" i="3"/>
  <c r="AF32" i="3"/>
  <c r="AE32" i="3"/>
  <c r="Z32" i="3"/>
  <c r="Y32" i="3"/>
  <c r="T32" i="3"/>
  <c r="S32" i="3"/>
  <c r="J32" i="3"/>
  <c r="H32" i="3" s="1"/>
  <c r="I32" i="3"/>
  <c r="AF31" i="3"/>
  <c r="AE31" i="3"/>
  <c r="Z31" i="3"/>
  <c r="Y31" i="3"/>
  <c r="T31" i="3"/>
  <c r="S31" i="3"/>
  <c r="J31" i="3"/>
  <c r="I31" i="3"/>
  <c r="G31" i="3" s="1"/>
  <c r="AF30" i="3"/>
  <c r="AE30" i="3"/>
  <c r="Z30" i="3"/>
  <c r="Y30" i="3"/>
  <c r="T30" i="3"/>
  <c r="S30" i="3"/>
  <c r="J30" i="3"/>
  <c r="H30" i="3" s="1"/>
  <c r="I30" i="3"/>
  <c r="AF29" i="3"/>
  <c r="AE29" i="3"/>
  <c r="Z29" i="3"/>
  <c r="Y29" i="3"/>
  <c r="T29" i="3"/>
  <c r="S29" i="3"/>
  <c r="J29" i="3"/>
  <c r="I29" i="3"/>
  <c r="AF28" i="3"/>
  <c r="AE28" i="3"/>
  <c r="Z28" i="3"/>
  <c r="Y28" i="3"/>
  <c r="T28" i="3"/>
  <c r="S28" i="3"/>
  <c r="J28" i="3"/>
  <c r="I28" i="3"/>
  <c r="AF27" i="3"/>
  <c r="AE27" i="3"/>
  <c r="Z27" i="3"/>
  <c r="Y27" i="3"/>
  <c r="T27" i="3"/>
  <c r="S27" i="3"/>
  <c r="J27" i="3"/>
  <c r="I27" i="3"/>
  <c r="AF26" i="3"/>
  <c r="AE26" i="3"/>
  <c r="Z26" i="3"/>
  <c r="Y26" i="3"/>
  <c r="T26" i="3"/>
  <c r="S26" i="3"/>
  <c r="J26" i="3"/>
  <c r="H26" i="3" s="1"/>
  <c r="I26" i="3"/>
  <c r="AF25" i="3"/>
  <c r="AE25" i="3"/>
  <c r="Z25" i="3"/>
  <c r="Y25" i="3"/>
  <c r="T25" i="3"/>
  <c r="S25" i="3"/>
  <c r="J25" i="3"/>
  <c r="I25" i="3"/>
  <c r="AF24" i="3"/>
  <c r="AE24" i="3"/>
  <c r="Z24" i="3"/>
  <c r="Y24" i="3"/>
  <c r="T24" i="3"/>
  <c r="S24" i="3"/>
  <c r="J24" i="3"/>
  <c r="I24" i="3"/>
  <c r="AF23" i="3"/>
  <c r="AE23" i="3"/>
  <c r="Z23" i="3"/>
  <c r="Y23" i="3"/>
  <c r="T23" i="3"/>
  <c r="S23" i="3"/>
  <c r="J23" i="3"/>
  <c r="I23" i="3"/>
  <c r="AF22" i="3"/>
  <c r="AE22" i="3"/>
  <c r="Z22" i="3"/>
  <c r="Y22" i="3"/>
  <c r="T22" i="3"/>
  <c r="S22" i="3"/>
  <c r="J22" i="3"/>
  <c r="H22" i="3" s="1"/>
  <c r="I22" i="3"/>
  <c r="AF21" i="3"/>
  <c r="AE21" i="3"/>
  <c r="Z21" i="3"/>
  <c r="Y21" i="3"/>
  <c r="T21" i="3"/>
  <c r="S21" i="3"/>
  <c r="J21" i="3"/>
  <c r="I21" i="3"/>
  <c r="AF20" i="3"/>
  <c r="AE20" i="3"/>
  <c r="Z20" i="3"/>
  <c r="Y20" i="3"/>
  <c r="T20" i="3"/>
  <c r="S20" i="3"/>
  <c r="J20" i="3"/>
  <c r="I20" i="3"/>
  <c r="AF19" i="3"/>
  <c r="AE19" i="3"/>
  <c r="Z19" i="3"/>
  <c r="Y19" i="3"/>
  <c r="T19" i="3"/>
  <c r="S19" i="3"/>
  <c r="J19" i="3"/>
  <c r="I19" i="3"/>
  <c r="AF18" i="3"/>
  <c r="AE18" i="3"/>
  <c r="Z18" i="3"/>
  <c r="Y18" i="3"/>
  <c r="T18" i="3"/>
  <c r="S18" i="3"/>
  <c r="J18" i="3"/>
  <c r="H18" i="3" s="1"/>
  <c r="I18" i="3"/>
  <c r="AF17" i="3"/>
  <c r="AE17" i="3"/>
  <c r="Z17" i="3"/>
  <c r="Y17" i="3"/>
  <c r="T17" i="3"/>
  <c r="S17" i="3"/>
  <c r="J17" i="3"/>
  <c r="I17" i="3"/>
  <c r="AF16" i="3"/>
  <c r="AE16" i="3"/>
  <c r="Z16" i="3"/>
  <c r="Y16" i="3"/>
  <c r="T16" i="3"/>
  <c r="S16" i="3"/>
  <c r="J16" i="3"/>
  <c r="I16" i="3"/>
  <c r="AF15" i="3"/>
  <c r="AE15" i="3"/>
  <c r="Z15" i="3"/>
  <c r="Y15" i="3"/>
  <c r="T15" i="3"/>
  <c r="S15" i="3"/>
  <c r="J15" i="3"/>
  <c r="I15" i="3"/>
  <c r="AF14" i="3"/>
  <c r="AE14" i="3"/>
  <c r="Z14" i="3"/>
  <c r="Y14" i="3"/>
  <c r="Y12" i="3" s="1"/>
  <c r="Y10" i="3" s="1"/>
  <c r="T14" i="3"/>
  <c r="S14" i="3"/>
  <c r="J14" i="3"/>
  <c r="I14" i="3"/>
  <c r="AF13" i="3"/>
  <c r="AE13" i="3"/>
  <c r="Z13" i="3"/>
  <c r="Y13" i="3"/>
  <c r="T13" i="3"/>
  <c r="S13" i="3"/>
  <c r="J13" i="3"/>
  <c r="I13" i="3"/>
  <c r="AJ12" i="3"/>
  <c r="AI12" i="3"/>
  <c r="AI10" i="3" s="1"/>
  <c r="AH12" i="3"/>
  <c r="AH10" i="3" s="1"/>
  <c r="AG12" i="3"/>
  <c r="AD12" i="3"/>
  <c r="AD10" i="3" s="1"/>
  <c r="AC12" i="3"/>
  <c r="AC10" i="3" s="1"/>
  <c r="AB12" i="3"/>
  <c r="AB10" i="3" s="1"/>
  <c r="AA12" i="3"/>
  <c r="X12" i="3"/>
  <c r="X10" i="3" s="1"/>
  <c r="W12" i="3"/>
  <c r="W10" i="3" s="1"/>
  <c r="V12" i="3"/>
  <c r="U12" i="3"/>
  <c r="U10" i="3" s="1"/>
  <c r="R12" i="3"/>
  <c r="R10" i="3" s="1"/>
  <c r="Q12" i="3"/>
  <c r="Q10" i="3" s="1"/>
  <c r="P12" i="3"/>
  <c r="O12" i="3"/>
  <c r="N12" i="3"/>
  <c r="N10" i="3" s="1"/>
  <c r="M12" i="3"/>
  <c r="L12" i="3"/>
  <c r="K12" i="3"/>
  <c r="K10" i="3" s="1"/>
  <c r="AF11" i="3"/>
  <c r="AE11" i="3"/>
  <c r="Z11" i="3"/>
  <c r="Y11" i="3"/>
  <c r="T11" i="3"/>
  <c r="S11" i="3"/>
  <c r="J11" i="3"/>
  <c r="I11" i="3"/>
  <c r="AJ10" i="3"/>
  <c r="AG10" i="3"/>
  <c r="AA10" i="3"/>
  <c r="V10" i="3"/>
  <c r="P10" i="3"/>
  <c r="O10" i="3"/>
  <c r="M10" i="3"/>
  <c r="L10" i="3"/>
  <c r="H34" i="3" l="1"/>
  <c r="G15" i="3"/>
  <c r="G23" i="3"/>
  <c r="G21" i="3"/>
  <c r="H33" i="3"/>
  <c r="G35" i="3"/>
  <c r="H11" i="3"/>
  <c r="H27" i="3"/>
  <c r="H35" i="3"/>
  <c r="AE12" i="3"/>
  <c r="H23" i="3"/>
  <c r="AF12" i="3"/>
  <c r="AF10" i="3" s="1"/>
  <c r="G16" i="3"/>
  <c r="G27" i="3"/>
  <c r="H14" i="3"/>
  <c r="G24" i="3"/>
  <c r="G26" i="3"/>
  <c r="H25" i="3"/>
  <c r="H15" i="3"/>
  <c r="G25" i="3"/>
  <c r="G28" i="3"/>
  <c r="H24" i="3"/>
  <c r="H19" i="3"/>
  <c r="H28" i="3"/>
  <c r="H29" i="3"/>
  <c r="G30" i="3"/>
  <c r="I12" i="3"/>
  <c r="I10" i="3" s="1"/>
  <c r="H13" i="3"/>
  <c r="H12" i="3" s="1"/>
  <c r="H10" i="3" s="1"/>
  <c r="G14" i="3"/>
  <c r="G19" i="3"/>
  <c r="G29" i="3"/>
  <c r="G32" i="3"/>
  <c r="T12" i="3"/>
  <c r="H16" i="3"/>
  <c r="H17" i="3"/>
  <c r="G18" i="3"/>
  <c r="G20" i="3"/>
  <c r="G33" i="3"/>
  <c r="S12" i="3"/>
  <c r="S10" i="3" s="1"/>
  <c r="G11" i="3"/>
  <c r="G17" i="3"/>
  <c r="H20" i="3"/>
  <c r="H21" i="3"/>
  <c r="G22" i="3"/>
  <c r="H31" i="3"/>
  <c r="T10" i="3"/>
  <c r="AE10" i="3"/>
  <c r="G13" i="3"/>
  <c r="J12" i="3"/>
  <c r="J10" i="3" s="1"/>
  <c r="Z12" i="3"/>
  <c r="Z10" i="3" s="1"/>
  <c r="G12" i="3" l="1"/>
  <c r="G10" i="3" s="1"/>
</calcChain>
</file>

<file path=xl/sharedStrings.xml><?xml version="1.0" encoding="utf-8"?>
<sst xmlns="http://schemas.openxmlformats.org/spreadsheetml/2006/main" count="483" uniqueCount="289">
  <si>
    <t xml:space="preserve">           งบรายจ่าย/ กิจกรรม*</t>
  </si>
  <si>
    <t>หน่วย
งาน</t>
  </si>
  <si>
    <t>งบลงทุน</t>
  </si>
  <si>
    <t>งบเงินอุดหนุน</t>
  </si>
  <si>
    <t>งบรายจ่ายอื่น</t>
  </si>
  <si>
    <t>รวมทั้งสิ้น</t>
  </si>
  <si>
    <t>ค่าวัสดุ</t>
  </si>
  <si>
    <t>ค่าครุภัณฑ์</t>
  </si>
  <si>
    <t>รายจ่าย
ประจำ</t>
  </si>
  <si>
    <t>รายจ่าย
ลงทุน</t>
  </si>
  <si>
    <t>รวมงบประมาณทั้งสิ้น 4 แผนงาน</t>
  </si>
  <si>
    <t>1. แผนงานบุคลากรภาครัฐ</t>
  </si>
  <si>
    <t>1.1) รายการบุคลากรภาครัฐ</t>
  </si>
  <si>
    <t xml:space="preserve"> (1.) กิจกรรมหลักบุคลากรภาครัฐกรมป่าไม้</t>
  </si>
  <si>
    <t>(1.1)</t>
  </si>
  <si>
    <t xml:space="preserve"> กิจกรรมบุคลากรภาครัฐกรมป่าไม้</t>
  </si>
  <si>
    <t>สบก.</t>
  </si>
  <si>
    <t>2. แผนงานพื้นฐาน</t>
  </si>
  <si>
    <t>2.1 แผนงานพื้นฐานด้านการสร้างการเติบโตบนคุณภาพชีวิตที่เป็นมิตรต่อสิ่งแวดล้อม</t>
  </si>
  <si>
    <t>1.1) ผลผลิต พื้นที่ป่าไม้ได้รับการบริหารจัดการ</t>
  </si>
  <si>
    <t xml:space="preserve"> (1.) กิจกรรมหลักป้องกันรักษาป่า</t>
  </si>
  <si>
    <t xml:space="preserve"> กิจกรรมป้องกันและปราบปรามการบุกรุกทำลายทรัพยากรป่าไม้</t>
  </si>
  <si>
    <t>สปฟ.</t>
  </si>
  <si>
    <t>(1.2)</t>
  </si>
  <si>
    <t xml:space="preserve"> กิจกรรมดูแลรักษาและจัดเก็บไม้ของกลางป่าสาละวิน</t>
  </si>
  <si>
    <t xml:space="preserve"> (2.) กิจกรรมหลักจัดการที่ดินป่าไม้</t>
  </si>
  <si>
    <t>(2.1)</t>
  </si>
  <si>
    <t xml:space="preserve"> กิจกรรมจัดการที่ดินป่าไม้ </t>
  </si>
  <si>
    <t>สจด.</t>
  </si>
  <si>
    <t>(2.2)</t>
  </si>
  <si>
    <t xml:space="preserve"> กิจกรรมจัดการแนวเขตป่าสงวนแห่งชาติ</t>
  </si>
  <si>
    <t>(2.3)</t>
  </si>
  <si>
    <t xml:space="preserve"> กิจกรรมโครงการจัดการป่าสงวนแห่งชาติ </t>
  </si>
  <si>
    <t>สปน.</t>
  </si>
  <si>
    <t xml:space="preserve"> (3.) กิจกรรมหลักส่งเสริมการปลูกไม้เศรษฐกิจและเพิ่มพื้นที่สีเขียว</t>
  </si>
  <si>
    <t>(3.1)</t>
  </si>
  <si>
    <t xml:space="preserve"> กิจกรรมส่งเสริมและพัฒนาการปลูกไม้เศรษฐกิจ</t>
  </si>
  <si>
    <t>สศม.</t>
  </si>
  <si>
    <t>(3.2)</t>
  </si>
  <si>
    <t xml:space="preserve"> กิจกรรมเสริมสร้างความเข้มแข็งของเครือข่ายเกษตรกรอาชีพปลูกสวนป่า</t>
  </si>
  <si>
    <t>(3.3)</t>
  </si>
  <si>
    <t xml:space="preserve"> กิจกรรมพัฒนาป่าชุมชนเมืองเพื่อลดสภาวะโลกร้อน </t>
  </si>
  <si>
    <t>สจช.</t>
  </si>
  <si>
    <t xml:space="preserve"> (4.) กิจกรรมหลักฟื้นฟูป่าไม้</t>
  </si>
  <si>
    <t>(4.1)</t>
  </si>
  <si>
    <t xml:space="preserve"> กิจกรรมบำรุงรักษาป่า</t>
  </si>
  <si>
    <t xml:space="preserve"> - กิจกรรมบำรุงรักษาป่า (งานบำรุงรักษาป่า) </t>
  </si>
  <si>
    <t>สสป.</t>
  </si>
  <si>
    <t xml:space="preserve"> - กิจกรรมบำรุงรักษาป่า (งานพัฒนาวนศาสตร์ชุมชน ) </t>
  </si>
  <si>
    <t xml:space="preserve"> - กิจกรรมบำรุงรักษาป่า (งานโครงการพระราชดำริและกิจการพิเศษ) </t>
  </si>
  <si>
    <t>สคร.</t>
  </si>
  <si>
    <t xml:space="preserve"> - กิจกรรมบำรุงรักษาป่า (งานบริหารจัดการงานวิจัย) </t>
  </si>
  <si>
    <t>สวพ.</t>
  </si>
  <si>
    <t>(4.2)</t>
  </si>
  <si>
    <t xml:space="preserve"> กิจกรรมเพาะชำกล้าไม้เพื่อเพิ่มพื้นที่สีเขียว </t>
  </si>
  <si>
    <t xml:space="preserve"> - กิจกรรมเพาะชำกล้าไม้เพื่อเพิ่มพื้นที่สีเขียว (งานเพาะชำกล้าไม้เพื่อเพิ่มพื้นที่สีเขียว) </t>
  </si>
  <si>
    <t xml:space="preserve"> - กิจกรรมเพาะชำกล้าไม้เพื่อเพิ่มพื้นที่สีเขียว (งานพัฒนาป่าชุมชนเมืองเพื่อลดสภาวะโลกร้อน) </t>
  </si>
  <si>
    <t xml:space="preserve"> - กิจกรรมเพาะชำกล้าไม้เพื่อเพิ่มพื้นที่สีเขียว (งานโครงการพระราชดำริและกิจการพิเศษ) </t>
  </si>
  <si>
    <t xml:space="preserve"> - กิจกรรมเพาะชำกล้าไม้เพื่อเพิ่มพื้นที่สีเขียว (งานบริหารจัดการงานวิจัย) </t>
  </si>
  <si>
    <t xml:space="preserve"> - กิจกรรมเพาะชำกล้าไม้เพื่อเพิ่มพื้นที่สีเขียว (งานพัฒนาและถ่ายทอดองค์ความรู้ ) </t>
  </si>
  <si>
    <t>(4.3)</t>
  </si>
  <si>
    <t xml:space="preserve"> กิจกรรมโครงการเพิ่มศักยภาพงานเพาะชำกล้าไม้</t>
  </si>
  <si>
    <t xml:space="preserve"> (5.) กิจกรรมหลักส่งเสริมและพัฒนาการป่าไม้</t>
  </si>
  <si>
    <t>(5.1)</t>
  </si>
  <si>
    <t xml:space="preserve"> กิจกรรมพัฒนาป่าไม้ร่วมกับองค์กรและเครือข่ายแบบบูรณาการ</t>
  </si>
  <si>
    <t>(5.2)</t>
  </si>
  <si>
    <t xml:space="preserve"> กิจกรรมพัฒนาวนศาสตร์ชุมชน </t>
  </si>
  <si>
    <t>(5.3)</t>
  </si>
  <si>
    <t xml:space="preserve"> กิจกรรมโครงการอนุรักษ์พันธุกรรมพืชอันเนื่องมาจากพระราชดำริ 
สมเด็จพระเทพรัตนราชสุดาฯ สยามบรมราชกุมารี</t>
  </si>
  <si>
    <t>(5.4)</t>
  </si>
  <si>
    <t xml:space="preserve"> กิจกรรมโครงการพัฒนาป่าไม้อันเนื่องมาจากพระราชดำริ </t>
  </si>
  <si>
    <t>(5.5)</t>
  </si>
  <si>
    <t xml:space="preserve"> กิจกรรมโครงการส่งเสริมและพัฒนาพันธุ์ไม้ป่าดิบชื้นเป็นพืชเศรษฐกิจ จังหวัดยะลา </t>
  </si>
  <si>
    <t>(5.6)</t>
  </si>
  <si>
    <t xml:space="preserve"> กิจกรรมโครงการปิดทองหลังพระสืบสานแนวพระราชดำริ </t>
  </si>
  <si>
    <t xml:space="preserve"> (6.) กิจกรรมหลักบริหารจัดการงานป่าไม้</t>
  </si>
  <si>
    <t>(6.1)</t>
  </si>
  <si>
    <t xml:space="preserve"> กิจกรรมอำนวยการงานบริหารกลาง</t>
  </si>
  <si>
    <t>(6.2)</t>
  </si>
  <si>
    <t xml:space="preserve"> กิจกรรมอำนวยการงานประชาสัมพันธ์ </t>
  </si>
  <si>
    <t>(6.3)</t>
  </si>
  <si>
    <t xml:space="preserve"> กิจกรรมอำนวยการงานแผนงานและสารสนเทศ</t>
  </si>
  <si>
    <t>สผส.</t>
  </si>
  <si>
    <t>(6.4)</t>
  </si>
  <si>
    <t xml:space="preserve"> กิจกรรมอำนวยการงานตรวจสอบภายใน</t>
  </si>
  <si>
    <t>กสน.</t>
  </si>
  <si>
    <t>(6.5)</t>
  </si>
  <si>
    <t xml:space="preserve"> กิจกรรมส่งเสริมงานด้านต่างประเทศ</t>
  </si>
  <si>
    <t>สตป.</t>
  </si>
  <si>
    <t>(6.6)</t>
  </si>
  <si>
    <t xml:space="preserve"> กิจกรรมการบริการประชาชน</t>
  </si>
  <si>
    <t>(6.7)</t>
  </si>
  <si>
    <t xml:space="preserve"> กิจกรรมพัฒนาคุณภาพการปฏิบัติงานราชการ</t>
  </si>
  <si>
    <t>กพร.</t>
  </si>
  <si>
    <t>(6.8)</t>
  </si>
  <si>
    <t xml:space="preserve"> กิจกรรมบริหารจัดการงานนิติการ</t>
  </si>
  <si>
    <t>กนต.</t>
  </si>
  <si>
    <t>(6.9)</t>
  </si>
  <si>
    <t xml:space="preserve"> กิจกรรมเพิ่มศักยภาพการจัดการงานป่าไม้</t>
  </si>
  <si>
    <t>(6.10)</t>
  </si>
  <si>
    <t xml:space="preserve"> กิจกรรมพัฒนาระบบเทคโนโลยีสารสนเทศ </t>
  </si>
  <si>
    <t>ศทส.</t>
  </si>
  <si>
    <t>(6.11)</t>
  </si>
  <si>
    <t xml:space="preserve"> กิจกรรมจัดทำฐานข้อมูลความหลากหลายทางชีวภาพ </t>
  </si>
  <si>
    <t>(6.12)</t>
  </si>
  <si>
    <t xml:space="preserve"> กิจกรรมบริหารจัดการงานวิจัย  </t>
  </si>
  <si>
    <t>(6.13)</t>
  </si>
  <si>
    <t xml:space="preserve"> กิจกรรมพัฒนาและถ่ายทอดองค์ความรู้ </t>
  </si>
  <si>
    <t xml:space="preserve"> (7.) กิจกรรมหลักบริการงานป่าไม้</t>
  </si>
  <si>
    <t>(7.1)</t>
  </si>
  <si>
    <t xml:space="preserve"> กิจกรรมบริการด้านการอนุญาต</t>
  </si>
  <si>
    <t>กอญ.</t>
  </si>
  <si>
    <t>(7.2)</t>
  </si>
  <si>
    <t xml:space="preserve"> กิจกรรมตรวจสอบ ควบคุมและบริการนำไม้หรือของป่าเคลื่อนที่</t>
  </si>
  <si>
    <t>(7.3)</t>
  </si>
  <si>
    <t xml:space="preserve"> กิจกรรมตรวจสอบรับรองคุณภาพผลิตภัณฑ์ป่าไม้และตรวจพิสูจน์ไม้</t>
  </si>
  <si>
    <t xml:space="preserve"> 3. แผนงานยุทธศาสตร์</t>
  </si>
  <si>
    <t>3.1 แผนงานยุทธศาสตร์สร้างการเติบโตอย่างยั่งยืน อนุรักษ์ ฟื้นฟู 
และป้องกันการทำลายทรัพยากรธรรมชาติ</t>
  </si>
  <si>
    <t>1.) โครงการป้องกันรักษาป่า พัฒนาและเพิ่มพื้นที่สีเขียว</t>
  </si>
  <si>
    <t xml:space="preserve"> (1.) กิจกรรมหลักป้องกันรักษาป่าและควบคุมไฟป่า</t>
  </si>
  <si>
    <t xml:space="preserve"> กิจกรรมปฏิบัติการพิเศษในการป้องกัน ทำลายทรัพยากรป่าไม้ </t>
  </si>
  <si>
    <t xml:space="preserve"> กิจกรรมพัฒนาศักยภาพการป้องกันรักษาป่า </t>
  </si>
  <si>
    <t xml:space="preserve"> - กิจกรรมพัฒนาศักยภาพการป้องกันรักษาป่า (งานป้องกันรักษาป่าและควบคุมไฟป่า)</t>
  </si>
  <si>
    <t xml:space="preserve"> - กิจกรรมพัฒนาศักยภาพการป้องกันรักษาป่า (งานอำนวยการแผนงานและสารสนเทศ)</t>
  </si>
  <si>
    <t>(1.3)</t>
  </si>
  <si>
    <t xml:space="preserve"> กิจกรรมป้องกันไฟป่าและควบคุมหมอกควัน </t>
  </si>
  <si>
    <t>(1.4)</t>
  </si>
  <si>
    <t xml:space="preserve"> กิจกรรมดำเนินการเกี่ยวกับไม้ของกลางและหลักฐานในคดีป่าไม้</t>
  </si>
  <si>
    <t>(1.5)</t>
  </si>
  <si>
    <t>กิจกรรมโครงการรื้อถอนทำลายต้นปาล์มน้ำมันออกจากพื้นที่ที่หมดอายุ
ให้เข้าทำประโยชน์ในเขตป่าสงวนแห่งชาติและไม่มีการต่ออายุขออนุญาต
เข้าทำประโยชน์ในเขตป่าสงวนแห่งชาติ</t>
  </si>
  <si>
    <t xml:space="preserve"> (2.) กิจกรรมหลักอนุรักษ์ทรัพยากรธรรมชาติอย่างมีส่วนร่วม</t>
  </si>
  <si>
    <t xml:space="preserve"> กิจกรรมราษฎรอาสาสมัครพิทักษ์ป่า (รสทป.)</t>
  </si>
  <si>
    <t xml:space="preserve"> กิจกรรมพัฒนาศักยภาพบุคลากร </t>
  </si>
  <si>
    <t xml:space="preserve"> กิจกรรมประชาสัมพันธ์ป้องกันและปราบปรามการบุกรุกทำลายทรัพยากรป่าไม้</t>
  </si>
  <si>
    <t>(2.4)</t>
  </si>
  <si>
    <t xml:space="preserve"> กิจกรรมพัฒนาเครือข่ายป่าชุมชน พิทักษ์ป่า พัฒนาชาติ </t>
  </si>
  <si>
    <t>(2.5)</t>
  </si>
  <si>
    <t xml:space="preserve"> กิจกรรมเครือข่ายชุมชนฟื้นฟูป่า </t>
  </si>
  <si>
    <t>(2.6)</t>
  </si>
  <si>
    <t>กิจกรรมส่งเสริมการเพาะชำกล้าไม้สู่ประชารัฐ</t>
  </si>
  <si>
    <t>(3.) กิจกรรมหลักส่งเสริมการปลูกไม้เศรษฐกิจแบบครบวงจร</t>
  </si>
  <si>
    <t xml:space="preserve"> กิจกรรมจัดทำข้อตกลงเป็นหุ้นส่วนด้วยความสมัครใจ (FLEGT VPA)</t>
  </si>
  <si>
    <t xml:space="preserve"> กิจกรรมตรวจสอบและออกหนังสือรับรองไม้ ผลิตภัณฑ์ไม้ และถ่านไม้
 เพื่อส่งออกไปนอกราชอาณาจักร</t>
  </si>
  <si>
    <t xml:space="preserve"> กิจกรรมเก็บรวบรวมข้อมูลไม้ สต๊อกไม้ เพื่อสนับสนุนการรับรองถิ่นกำเนิด
 Rules of Origin (ROO) ตามกฎ AEC และการออกใบอนุญาตส่งออก</t>
  </si>
  <si>
    <t>(3.4)</t>
  </si>
  <si>
    <t xml:space="preserve"> กิจกรรมจัดทำมาตรฐานความถูกต้องตามกฎหมายเพื่อรองรับ พรบ. สวนป่า 
และมาตรฐานอื่นๆ ในระดับสากล</t>
  </si>
  <si>
    <t>(3.5)</t>
  </si>
  <si>
    <t xml:space="preserve"> กิจกรรมโครงการสนับสนุนการปลูกไม้เศรษฐกิจ  </t>
  </si>
  <si>
    <t>(3.6)</t>
  </si>
  <si>
    <t xml:space="preserve"> กิจกรรมโครงการส่งเสริมการปลูกไม้เศรษฐกิจในพื้นที่ปลูกไม้ยางพาราและพื้นที่เกษตรกรรม  </t>
  </si>
  <si>
    <t>(3.7)</t>
  </si>
  <si>
    <t xml:space="preserve"> กิจกรรมโครงการส่งเสริมการปลูกไม้โตเร็วเพื่ออุตสาหกรรม </t>
  </si>
  <si>
    <t>(3.8.)</t>
  </si>
  <si>
    <t>กิจกรรมส่งเสริมผู้ประกอบการ SME ด้านอุตสาหกรรมไม้</t>
  </si>
  <si>
    <t xml:space="preserve"> (4.) กิจกรรมหลักฟื้นฟูและดูแลรักษาทรัพยากรธรรมชาติ</t>
  </si>
  <si>
    <t>(4.1.)</t>
  </si>
  <si>
    <t xml:space="preserve"> กิจกรรมจัดการทรัพยากรป่าไม้เพื่อสนับสนุนโครงการหลวง</t>
  </si>
  <si>
    <t xml:space="preserve"> กิจกรรมจัดการทรัพยากรป่าไม้เพื่อสนับสนุนโครงการพัฒนาพื้นที่สูงแบบโครงการหลวง</t>
  </si>
  <si>
    <t xml:space="preserve"> กิจกรรมโครงการสร้างป่าสร้างรายได้ </t>
  </si>
  <si>
    <t>(4.4)</t>
  </si>
  <si>
    <t xml:space="preserve"> กิจกรรมโครงการส่งเสริมการเรียนรู้เพื่อการอนุรักษ์และฟื้นฟูสิ่งแวดล้อม 
อันเนื่องมาจากพระราชดำริ อำเภอแม่สอด จังหวัดตาก  </t>
  </si>
  <si>
    <t>(4.5.)</t>
  </si>
  <si>
    <t xml:space="preserve"> กิจกรรมโครงการศูนย์ประสานงานอนุรักษ์ทรัพยากรป่าไม้กลุ่มป่าตะวันออก </t>
  </si>
  <si>
    <t xml:space="preserve"> (5.) กิจกรรมหลักส่งเสริมการบริหารจัดการป่าชุมชน</t>
  </si>
  <si>
    <t xml:space="preserve"> กิจกรรมส่งเสริมการจัดการป่าชุมชน</t>
  </si>
  <si>
    <t xml:space="preserve"> กิจกรรมการดำเนินงานตาม พระราชบัญญัติป่าชุมชน พ.ศ.2562</t>
  </si>
  <si>
    <t xml:space="preserve"> กิจกรรมบริหารจัดการป่าชุมชนเพื่อพัฒนาคุณภาพชีวิต </t>
  </si>
  <si>
    <t>กิจกรรมโครงการส่งเสริมการปลูกพืชสมุนไพรในป่าชุมชน</t>
  </si>
  <si>
    <t xml:space="preserve"> - กิจกรรมส่งเสริมการปลูกสมุนไพรในป่าชุมชน</t>
  </si>
  <si>
    <t xml:space="preserve"> - กิจกรรมอนุรักษ์และใช้ประโยชน์สมุนไพรจากป่าอย่างยั่งยืน</t>
  </si>
  <si>
    <t xml:space="preserve"> (6.) กิจกรรมหลักส่งเสริมการเพิ่มพื้นที่สีเขียว</t>
  </si>
  <si>
    <t xml:space="preserve"> กิจกรรมรุกขกร</t>
  </si>
  <si>
    <t xml:space="preserve">กิจกรรมผลิตกล้าไม้ </t>
  </si>
  <si>
    <t xml:space="preserve"> - กิจกรรมผลิตกล้าไม้ (งานผลิตกล้าไม้) </t>
  </si>
  <si>
    <t xml:space="preserve"> - กิจกรรมผลิตกล้าไม้ (งานโครงการพระราชดำริและกิจการพิเศษ)</t>
  </si>
  <si>
    <t xml:space="preserve"> - กิจกรรมผลิตกล้าไม้ (งานสำนักเศรษฐกิจการป่าไม้) </t>
  </si>
  <si>
    <t xml:space="preserve"> (7.) กิจกรรมหลักปรับปรุง เครื่องมือ และกลไก ในการบริหารจัดการทรัพยากรธรรมชาติ</t>
  </si>
  <si>
    <t xml:space="preserve">กิจกรรมพัฒนาระบบสารสนเทศป่าไม้  </t>
  </si>
  <si>
    <t>กิจกรรมบริหารงานคณะกรรมการนโยบายป่าไม้แห่งชาติ</t>
  </si>
  <si>
    <t>กิจกรรมบริหารงานคณะกรรมการควบคุมและรักษาป่าสงวนแห่งชาติประจำจังหวัด</t>
  </si>
  <si>
    <t>(7.4)</t>
  </si>
  <si>
    <t xml:space="preserve">กิจกรรมคณะกรรมการพิจารณาการใช้ประโยชน์ในเขตป่าสงวนแห่งชาติ  </t>
  </si>
  <si>
    <t>(7.6)</t>
  </si>
  <si>
    <t>กิจกรรมโครงการจัดทำห้องปฏิบัติการดีเอ็นเอ (DNA Laboratory Room)</t>
  </si>
  <si>
    <t>(8.) กิจกรรมหลักพัฒนาแหล่งท่องเที่ยวเชิงนิเวศ</t>
  </si>
  <si>
    <t>(8.1)</t>
  </si>
  <si>
    <t>กิจกรรมพัฒนาแหล่งท่องเที่ยวเชิงนิเวศ</t>
  </si>
  <si>
    <t>(9.) กิจกรรมหลักขับเคลื่อนงานป่าไม้เพื่อรองรับการกักเก็บคาร์บอน</t>
  </si>
  <si>
    <t>(9.1)</t>
  </si>
  <si>
    <t>กิจกรรมประสานงานด้านการเปลี่ยนแปลงสภาพภูมิอากาศ</t>
  </si>
  <si>
    <t>(9.2)</t>
  </si>
  <si>
    <t>กิจกรรมโครงการจัดทำข้อมูลศักยภาพการกักเก็บคาร์บอนในพื้นที่ป่าไม้</t>
  </si>
  <si>
    <t>(9.3)</t>
  </si>
  <si>
    <t>กิจกรรมโครงการการกักเก็บคาร์บอนของป่าชุมชนเพื่อลดสภาวะโลกร้อน</t>
  </si>
  <si>
    <t>2.) โครงการบริหารจัดการที่ดินป่าไม้อย่างเป็นระบบและเป็นธรรม</t>
  </si>
  <si>
    <t>(1)  กิจกรรมหลักการจัดการที่ดินป่าไม้ในระดับพื้นที่</t>
  </si>
  <si>
    <t xml:space="preserve"> กิจกรรมสำรวจทรัพยากรที่ดินและป่าไม้เพื่อจัดทำข้อมูลที่ดิน
และแผนที่ขอบเขตที่ดินในพื้นที่ป่าไม้ถาวร</t>
  </si>
  <si>
    <t>กิจกรรมตรวจสอบ ออกหลักฐานการอนุญาต และการติดตามการอนุญาต 
ให้เข้าทำประโยชน์ในพื้นที่ป่าสงวนแห่งชาติ</t>
  </si>
  <si>
    <t xml:space="preserve"> กิจกรรมจัดระเบียบเพื่อจัดที่ดินทำกินให้ชุมชนในพื้นที่ป่าสงวนแห่งชาติ</t>
  </si>
  <si>
    <t xml:space="preserve"> กิจกรรมตรวจติดตามการปฏิบัติตามข้อกำหนดการใช้ที่ดิน
ของผู้ได้รับการจัดที่ดินตามโครงการจัดที่ดินทำกินให้ชุมชน</t>
  </si>
  <si>
    <t xml:space="preserve"> กิจกรรมโครงการบริหารจัดการที่ดินป่าไม้ทั้งระบบ </t>
  </si>
  <si>
    <t>(1.6)</t>
  </si>
  <si>
    <t xml:space="preserve"> กิจกรรมสำรวจการถือครองที่ดินในพื้นที่ป่าสงวนแห่งชาติ</t>
  </si>
  <si>
    <t>(1.7)</t>
  </si>
  <si>
    <t xml:space="preserve"> กิจกรรมโครงการจัดทำแผนการบริหารจัดการทรัพยากรที่ดินและป่าไม้ระดับพื้นที่ </t>
  </si>
  <si>
    <t>(1.8)</t>
  </si>
  <si>
    <t>กิจกรรมเร่งรัดการดำเนินการ กรณี ส่วนราชการหรือหน่วยงานของรัฐ
 เข้าทำประโยชน์ในพื้นที่ป่าไม้ก่อนได้รับอนุญาตตามมติคณะรัฐมนตรี
 เมื่อวันที่ 23 มิถุนายน 2563</t>
  </si>
  <si>
    <t>(2) กิจกรรมหลักจัดทำฐานข้อมูลพื้นที่ป่าไม้</t>
  </si>
  <si>
    <t xml:space="preserve"> กิจกรรมสำรวจและวิเคราะห์ทรัพยากรป่าไม้</t>
  </si>
  <si>
    <t xml:space="preserve"> 4. แผนงานบูรณาการ</t>
  </si>
  <si>
    <t xml:space="preserve">4.1) แผนงานบูรณาการเชิงยุทธศาสตร์ </t>
  </si>
  <si>
    <t>4.1.1 แผนงานบูรณาการบริหารจัดการทรัพยากรน้ำ</t>
  </si>
  <si>
    <t>1.) โครงการปลูกป่าเพื่อฟื้นฟูระบบนิเวศ</t>
  </si>
  <si>
    <t>(1.)</t>
  </si>
  <si>
    <t>กิจกรรมฟื้นฟูระบบนิเวศในพื้นที่ป่าสงวนแห่งชาติ</t>
  </si>
  <si>
    <t>(2.)</t>
  </si>
  <si>
    <t>กิจกรรมสร้างฝายต้นน้ำในพื้นที่ป่าต้นน้ำ</t>
  </si>
  <si>
    <t>(แบบรายงาน สผส-ก)</t>
  </si>
  <si>
    <t>แบบรายงานผลการปฏิบัติงาน และผลการเบิกจ่ายงบประมาณ ประจำปีงบประมาณ พ.ศ. 2565</t>
  </si>
  <si>
    <t>สะสมตั้งแต่ต้นปีงบประมาณจนถึง ณ วันที่..............................................</t>
  </si>
  <si>
    <t>หน่วยงาน.......................................................................................................</t>
  </si>
  <si>
    <t>กิจกรรม/โครงการ..........................................................................................</t>
  </si>
  <si>
    <t>(หน่วย : บาท)</t>
  </si>
  <si>
    <t>ลำดับที่</t>
  </si>
  <si>
    <t>หน่วยงาน</t>
  </si>
  <si>
    <t>ผลการดำเนินงาน</t>
  </si>
  <si>
    <t>งบดำเนินงาน</t>
  </si>
  <si>
    <t>ชื่อตัวชี้วัด</t>
  </si>
  <si>
    <t>หน่วยนับ</t>
  </si>
  <si>
    <t>เป้าหมาย</t>
  </si>
  <si>
    <t>ผลการ</t>
  </si>
  <si>
    <t>ค่าตอบแทน</t>
  </si>
  <si>
    <t>ค่าใช้สอย</t>
  </si>
  <si>
    <t>ค่าสาธารณูปโภค</t>
  </si>
  <si>
    <t>ครุภัณฑ์</t>
  </si>
  <si>
    <t>ที่ดินและสิ่งก่อสร้าง</t>
  </si>
  <si>
    <t>รายจ่ายประจำ</t>
  </si>
  <si>
    <t>รายจ่ายลงทุน</t>
  </si>
  <si>
    <t>ดำเนินงาน</t>
  </si>
  <si>
    <t>แผน</t>
  </si>
  <si>
    <t>ผล</t>
  </si>
  <si>
    <t>ส่วนกลาง</t>
  </si>
  <si>
    <t>ส่วนภูมิภาค</t>
  </si>
  <si>
    <t xml:space="preserve"> สำนักจัดการทรัพยากรป่าไม้ ที่ 1 (เชียงใหม่)</t>
  </si>
  <si>
    <t xml:space="preserve"> สำนักจัดการทรัพยากรป่าไม้ ที่ 2 (เชียงราย)</t>
  </si>
  <si>
    <t xml:space="preserve"> สำนักจัดการทรัพยากรป่าไม้ ที่ 3 (ลำปาง)</t>
  </si>
  <si>
    <t xml:space="preserve"> สำนักจัดการทรัพยากรป่าไม้ ที่ 4 (ตาก)</t>
  </si>
  <si>
    <t xml:space="preserve"> สำนักจัดการทรัพยากรป่าไม้ ที่ 5 (สระบุรี)</t>
  </si>
  <si>
    <t xml:space="preserve"> สำนักจัดการทรัพยากรป่าไม้ ที่ 6 (อุดรธานี)</t>
  </si>
  <si>
    <t xml:space="preserve"> สำนักจัดการทรัพยากรป่าไม้ ที่ 7 (ขอนแก่น)</t>
  </si>
  <si>
    <t xml:space="preserve"> สำนักจัดการทรัพยากรป่าไม้ ที่ 8 (นครราชสีมา)</t>
  </si>
  <si>
    <t xml:space="preserve"> สำนักจัดการทรัพยากรป่าไม้ ที่ 9 (ชลบุรี)</t>
  </si>
  <si>
    <t xml:space="preserve"> สำนักจัดการทรัพยากรป่าไม้ ที่ 10 (ราชบุรี)</t>
  </si>
  <si>
    <t xml:space="preserve"> สำนักจัดการทรัพยากรป่าไม้ ที่ 11 (สุราษฎร์ฯ)</t>
  </si>
  <si>
    <t xml:space="preserve"> สำนักจัดการทรัพยากรป่าไม้ ที่ 12 (นครศรีธรรมราช)</t>
  </si>
  <si>
    <t xml:space="preserve"> สำนักจัดการทรัพยากรป่าไม้ ที่ 13 (สงขลา)</t>
  </si>
  <si>
    <t xml:space="preserve"> สำนักจัดการทรัพยากรป่าไม้ ที่ 1 สาขาแม่ฮ่องสอน</t>
  </si>
  <si>
    <t xml:space="preserve"> สำนักจัดการทรัพยากรป่าไม้ ที่ 3 สาขาแพร่</t>
  </si>
  <si>
    <t xml:space="preserve"> สำนักจัดการทรัพยากรป่าไม้ ที่ 4 สาขานครสวรรค์</t>
  </si>
  <si>
    <t xml:space="preserve"> สำนักจัดการทรัพยากรป่าไม้ ที่ 4 สาขาพิษณุโลก</t>
  </si>
  <si>
    <t xml:space="preserve"> สำนักจัดการทรัพยากรป่าไม้ ที่ 6 สาขานครพนม</t>
  </si>
  <si>
    <t xml:space="preserve"> สำนักจัดการทรัพยากรป่าไม้ ที่ 7 สาขาอุบลราชธานี</t>
  </si>
  <si>
    <t xml:space="preserve"> สำนักจัดการทรัพยากรป่าไม้ ที่ 9 สาขาปราจีนบุรี</t>
  </si>
  <si>
    <t xml:space="preserve"> สำนักจัดการทรัพยากรป่าไม้ ที่ 10 สาขาเพชรบุรี</t>
  </si>
  <si>
    <t xml:space="preserve"> สำนักจัดการทรัพยากรป่าไม้ ที่ 12 สาขากระบี่</t>
  </si>
  <si>
    <t xml:space="preserve"> สำนักจัดการทรัพยากรป่าไม้ ที่ 13 สาขานราธิวาส</t>
  </si>
  <si>
    <t>แผนตาม ปม.</t>
  </si>
  <si>
    <t>แผนที่ได้รับจัดสรร</t>
  </si>
  <si>
    <t>แบบรายงานผลการปฏิบัติงาน และผลการเบิกจ่ายงบประมาณ ประจำปีงบประมาณ พ.ศ. 2566</t>
  </si>
  <si>
    <t>หน่วยงาน.......สำนักจัดการทรัพยากรป่าไม้ที่ 10 (ราชบุรี).............</t>
  </si>
  <si>
    <t>รายงานผลการเบิกจ่ายเงินกันไว้เบิกเหลื่อมปีและ/หรือการขยายเวลาเบิกจ่ายเงินงบประมาณ ประจำปีงบประมาณ พ.ศ. 2565</t>
  </si>
  <si>
    <t>กิจกรรม/โครงการ...............................................</t>
  </si>
  <si>
    <t>ปีงบประมาณ</t>
  </si>
  <si>
    <t>รายการ</t>
  </si>
  <si>
    <t>งบรายจ่าย</t>
  </si>
  <si>
    <t>เงินกันเหลื่อมปีกรณีมีสถานะการดำเนินงาน</t>
  </si>
  <si>
    <t>เงินกันเหลื่อมปีกรณีไม่มีหนี้ผูกพัน</t>
  </si>
  <si>
    <t>อยู่ระหว่างดำเนินการ</t>
  </si>
  <si>
    <t>ไม่ดำเนินการต่อแล้ว</t>
  </si>
  <si>
    <t>หมายเหตุ/ปัญหาอุปสรรค</t>
  </si>
  <si>
    <t>ผลสะสม</t>
  </si>
  <si>
    <t>(ระบุขั้นตอน)</t>
  </si>
  <si>
    <t>(บาท)</t>
  </si>
  <si>
    <t xml:space="preserve">    </t>
  </si>
  <si>
    <t>หน่วยงาน....สำนักจัดการทรัพยากรป่าไม้ที่ 10 (ราชบุรี).....</t>
  </si>
  <si>
    <t>-</t>
  </si>
  <si>
    <t>1. ........................-..............................</t>
  </si>
  <si>
    <t>สะสมตั้งแต่ต้นปีงบประมาณจนถึง ณ วันที่....30 กันยายน 2566........</t>
  </si>
  <si>
    <t>สะสมตั้งแต่ต้นปีงบประมาณจนถึง ณ วันที่....30 กันยายน 2566.......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</si>
</sst>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0.000"/>
    <numFmt numFmtId="189" formatCode="_-* #,##0_-;\-* #,##0_-;_-* &quot;-&quot;??_-;_-@_-"/>
    <numFmt numFmtId="190" formatCode="0.0"/>
    <numFmt numFmtId="191" formatCode="#,##0.0_ ;\-#,##0.0\ "/>
  </numFmts>
  <fonts count="55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2"/>
      <name val="TH SarabunPSK"/>
      <family val="2"/>
    </font>
    <font>
      <sz val="22"/>
      <name val="Angsana New"/>
      <family val="1"/>
    </font>
    <font>
      <b/>
      <sz val="24"/>
      <name val="TH SarabunPSK"/>
      <family val="2"/>
    </font>
    <font>
      <b/>
      <sz val="18"/>
      <name val="TH SarabunPSK"/>
      <family val="2"/>
    </font>
    <font>
      <b/>
      <sz val="18"/>
      <name val="Angsana New"/>
      <family val="1"/>
    </font>
    <font>
      <b/>
      <sz val="16"/>
      <name val="TH SarabunPSK"/>
      <family val="2"/>
    </font>
    <font>
      <b/>
      <u/>
      <sz val="18"/>
      <name val="TH SarabunPSK"/>
      <family val="2"/>
    </font>
    <font>
      <b/>
      <u/>
      <sz val="16"/>
      <name val="TH SarabunPSK"/>
      <family val="2"/>
    </font>
    <font>
      <b/>
      <u/>
      <sz val="18"/>
      <name val="Angsana New"/>
      <family val="1"/>
    </font>
    <font>
      <sz val="18"/>
      <name val="TH SarabunPSK"/>
      <family val="2"/>
    </font>
    <font>
      <sz val="16"/>
      <name val="TH SarabunPSK"/>
      <family val="2"/>
    </font>
    <font>
      <sz val="18"/>
      <name val="Angsana New"/>
      <family val="1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Angsana New"/>
      <family val="1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  <charset val="222"/>
    </font>
    <font>
      <sz val="14"/>
      <name val="AngsanaUPC"/>
      <family val="1"/>
      <charset val="222"/>
    </font>
    <font>
      <sz val="11"/>
      <color theme="0"/>
      <name val="Tahoma"/>
      <family val="2"/>
      <charset val="222"/>
      <scheme val="minor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  <charset val="222"/>
    </font>
    <font>
      <sz val="11"/>
      <color theme="1"/>
      <name val="Tahoma"/>
      <family val="2"/>
      <charset val="222"/>
      <scheme val="minor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  <charset val="222"/>
    </font>
    <font>
      <b/>
      <sz val="12"/>
      <name val="Arial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  <charset val="222"/>
    </font>
    <font>
      <u/>
      <sz val="14"/>
      <color theme="10"/>
      <name val="AngsanaUPC"/>
      <family val="1"/>
      <charset val="22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  <charset val="22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</font>
    <font>
      <b/>
      <sz val="11"/>
      <color indexed="63"/>
      <name val="Calibri"/>
      <family val="2"/>
      <charset val="22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  <charset val="222"/>
    </font>
    <font>
      <sz val="12"/>
      <name val="นูลมรผ"/>
      <charset val="129"/>
    </font>
    <font>
      <sz val="12"/>
      <name val="นูลมรผ"/>
    </font>
    <font>
      <sz val="16"/>
      <name val="Angsana New"/>
      <family val="1"/>
    </font>
    <font>
      <b/>
      <sz val="14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name val="Angsana New"/>
      <family val="1"/>
    </font>
    <font>
      <sz val="16"/>
      <color indexed="8"/>
      <name val="TH SarabunPSK"/>
      <family val="2"/>
    </font>
    <font>
      <b/>
      <sz val="20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u val="singleAccounting"/>
      <sz val="14"/>
      <name val="TH SarabunPSK"/>
      <family val="2"/>
    </font>
  </fonts>
  <fills count="4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99CC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FFA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5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9" fontId="20" fillId="0" borderId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1" fillId="2" borderId="0" applyNumberFormat="0" applyBorder="0" applyAlignment="0" applyProtection="0"/>
    <xf numFmtId="0" fontId="19" fillId="30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36" borderId="39" applyNumberFormat="0" applyAlignment="0" applyProtection="0"/>
    <xf numFmtId="0" fontId="23" fillId="36" borderId="39" applyNumberFormat="0" applyAlignment="0" applyProtection="0"/>
    <xf numFmtId="0" fontId="23" fillId="36" borderId="39" applyNumberFormat="0" applyAlignment="0" applyProtection="0"/>
    <xf numFmtId="0" fontId="23" fillId="36" borderId="39" applyNumberFormat="0" applyAlignment="0" applyProtection="0"/>
    <xf numFmtId="0" fontId="23" fillId="36" borderId="39" applyNumberFormat="0" applyAlignment="0" applyProtection="0"/>
    <xf numFmtId="0" fontId="23" fillId="36" borderId="39" applyNumberFormat="0" applyAlignment="0" applyProtection="0"/>
    <xf numFmtId="0" fontId="23" fillId="36" borderId="39" applyNumberFormat="0" applyAlignment="0" applyProtection="0"/>
    <xf numFmtId="0" fontId="23" fillId="36" borderId="39" applyNumberFormat="0" applyAlignment="0" applyProtection="0"/>
    <xf numFmtId="0" fontId="23" fillId="36" borderId="39" applyNumberFormat="0" applyAlignment="0" applyProtection="0"/>
    <xf numFmtId="0" fontId="23" fillId="36" borderId="39" applyNumberFormat="0" applyAlignment="0" applyProtection="0"/>
    <xf numFmtId="0" fontId="23" fillId="36" borderId="39" applyNumberFormat="0" applyAlignment="0" applyProtection="0"/>
    <xf numFmtId="0" fontId="23" fillId="36" borderId="39" applyNumberFormat="0" applyAlignment="0" applyProtection="0"/>
    <xf numFmtId="0" fontId="23" fillId="36" borderId="39" applyNumberFormat="0" applyAlignment="0" applyProtection="0"/>
    <xf numFmtId="0" fontId="23" fillId="36" borderId="39" applyNumberFormat="0" applyAlignment="0" applyProtection="0"/>
    <xf numFmtId="0" fontId="23" fillId="36" borderId="39" applyNumberFormat="0" applyAlignment="0" applyProtection="0"/>
    <xf numFmtId="0" fontId="23" fillId="36" borderId="39" applyNumberFormat="0" applyAlignment="0" applyProtection="0"/>
    <xf numFmtId="0" fontId="24" fillId="37" borderId="40" applyNumberFormat="0" applyAlignment="0" applyProtection="0"/>
    <xf numFmtId="0" fontId="24" fillId="37" borderId="40" applyNumberFormat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0" borderId="41" applyNumberFormat="0" applyAlignment="0" applyProtection="0">
      <alignment horizontal="left" vertical="center"/>
    </xf>
    <xf numFmtId="0" fontId="28" fillId="0" borderId="4">
      <alignment horizontal="left" vertical="center"/>
    </xf>
    <xf numFmtId="0" fontId="28" fillId="0" borderId="4">
      <alignment horizontal="left" vertical="center"/>
    </xf>
    <xf numFmtId="0" fontId="28" fillId="0" borderId="4">
      <alignment horizontal="left" vertical="center"/>
    </xf>
    <xf numFmtId="0" fontId="28" fillId="0" borderId="4">
      <alignment horizontal="left" vertical="center"/>
    </xf>
    <xf numFmtId="0" fontId="28" fillId="0" borderId="4">
      <alignment horizontal="left" vertical="center"/>
    </xf>
    <xf numFmtId="0" fontId="28" fillId="0" borderId="4">
      <alignment horizontal="left" vertical="center"/>
    </xf>
    <xf numFmtId="0" fontId="28" fillId="0" borderId="4">
      <alignment horizontal="left" vertical="center"/>
    </xf>
    <xf numFmtId="0" fontId="28" fillId="0" borderId="4">
      <alignment horizontal="left" vertical="center"/>
    </xf>
    <xf numFmtId="0" fontId="28" fillId="0" borderId="4">
      <alignment horizontal="left" vertical="center"/>
    </xf>
    <xf numFmtId="0" fontId="28" fillId="0" borderId="4">
      <alignment horizontal="left" vertical="center"/>
    </xf>
    <xf numFmtId="0" fontId="29" fillId="0" borderId="42" applyNumberFormat="0" applyFill="0" applyAlignment="0" applyProtection="0"/>
    <xf numFmtId="0" fontId="29" fillId="0" borderId="42" applyNumberFormat="0" applyFill="0" applyAlignment="0" applyProtection="0"/>
    <xf numFmtId="0" fontId="30" fillId="0" borderId="43" applyNumberFormat="0" applyFill="0" applyAlignment="0" applyProtection="0"/>
    <xf numFmtId="0" fontId="30" fillId="0" borderId="43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23" borderId="39" applyNumberFormat="0" applyAlignment="0" applyProtection="0"/>
    <xf numFmtId="0" fontId="33" fillId="23" borderId="39" applyNumberFormat="0" applyAlignment="0" applyProtection="0"/>
    <xf numFmtId="0" fontId="33" fillId="23" borderId="39" applyNumberFormat="0" applyAlignment="0" applyProtection="0"/>
    <xf numFmtId="0" fontId="33" fillId="23" borderId="39" applyNumberFormat="0" applyAlignment="0" applyProtection="0"/>
    <xf numFmtId="0" fontId="33" fillId="23" borderId="39" applyNumberFormat="0" applyAlignment="0" applyProtection="0"/>
    <xf numFmtId="0" fontId="33" fillId="23" borderId="39" applyNumberFormat="0" applyAlignment="0" applyProtection="0"/>
    <xf numFmtId="0" fontId="33" fillId="23" borderId="39" applyNumberFormat="0" applyAlignment="0" applyProtection="0"/>
    <xf numFmtId="0" fontId="33" fillId="23" borderId="39" applyNumberFormat="0" applyAlignment="0" applyProtection="0"/>
    <xf numFmtId="0" fontId="33" fillId="23" borderId="39" applyNumberFormat="0" applyAlignment="0" applyProtection="0"/>
    <xf numFmtId="0" fontId="33" fillId="23" borderId="39" applyNumberFormat="0" applyAlignment="0" applyProtection="0"/>
    <xf numFmtId="0" fontId="33" fillId="23" borderId="39" applyNumberFormat="0" applyAlignment="0" applyProtection="0"/>
    <xf numFmtId="0" fontId="33" fillId="23" borderId="39" applyNumberFormat="0" applyAlignment="0" applyProtection="0"/>
    <xf numFmtId="0" fontId="33" fillId="23" borderId="39" applyNumberFormat="0" applyAlignment="0" applyProtection="0"/>
    <xf numFmtId="0" fontId="33" fillId="23" borderId="39" applyNumberFormat="0" applyAlignment="0" applyProtection="0"/>
    <xf numFmtId="0" fontId="33" fillId="23" borderId="39" applyNumberFormat="0" applyAlignment="0" applyProtection="0"/>
    <xf numFmtId="0" fontId="33" fillId="23" borderId="39" applyNumberFormat="0" applyAlignment="0" applyProtection="0"/>
    <xf numFmtId="0" fontId="34" fillId="0" borderId="45" applyNumberFormat="0" applyFill="0" applyAlignment="0" applyProtection="0"/>
    <xf numFmtId="0" fontId="34" fillId="0" borderId="45" applyNumberFormat="0" applyFill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2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1" fillId="0" borderId="0"/>
    <xf numFmtId="0" fontId="2" fillId="0" borderId="0"/>
    <xf numFmtId="0" fontId="36" fillId="0" borderId="0"/>
    <xf numFmtId="0" fontId="25" fillId="0" borderId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2" fillId="39" borderId="46" applyNumberFormat="0" applyFont="0" applyAlignment="0" applyProtection="0"/>
    <xf numFmtId="0" fontId="39" fillId="36" borderId="47" applyNumberFormat="0" applyAlignment="0" applyProtection="0"/>
    <xf numFmtId="0" fontId="39" fillId="36" borderId="47" applyNumberFormat="0" applyAlignment="0" applyProtection="0"/>
    <xf numFmtId="0" fontId="39" fillId="36" borderId="47" applyNumberFormat="0" applyAlignment="0" applyProtection="0"/>
    <xf numFmtId="0" fontId="39" fillId="36" borderId="47" applyNumberFormat="0" applyAlignment="0" applyProtection="0"/>
    <xf numFmtId="0" fontId="39" fillId="36" borderId="47" applyNumberFormat="0" applyAlignment="0" applyProtection="0"/>
    <xf numFmtId="0" fontId="39" fillId="36" borderId="47" applyNumberFormat="0" applyAlignment="0" applyProtection="0"/>
    <xf numFmtId="0" fontId="39" fillId="36" borderId="47" applyNumberFormat="0" applyAlignment="0" applyProtection="0"/>
    <xf numFmtId="0" fontId="39" fillId="36" borderId="47" applyNumberFormat="0" applyAlignment="0" applyProtection="0"/>
    <xf numFmtId="0" fontId="39" fillId="36" borderId="47" applyNumberFormat="0" applyAlignment="0" applyProtection="0"/>
    <xf numFmtId="0" fontId="39" fillId="36" borderId="47" applyNumberFormat="0" applyAlignment="0" applyProtection="0"/>
    <xf numFmtId="0" fontId="39" fillId="36" borderId="47" applyNumberFormat="0" applyAlignment="0" applyProtection="0"/>
    <xf numFmtId="0" fontId="39" fillId="36" borderId="47" applyNumberFormat="0" applyAlignment="0" applyProtection="0"/>
    <xf numFmtId="0" fontId="39" fillId="36" borderId="47" applyNumberFormat="0" applyAlignment="0" applyProtection="0"/>
    <xf numFmtId="0" fontId="39" fillId="36" borderId="47" applyNumberFormat="0" applyAlignment="0" applyProtection="0"/>
    <xf numFmtId="0" fontId="39" fillId="36" borderId="47" applyNumberFormat="0" applyAlignment="0" applyProtection="0"/>
    <xf numFmtId="0" fontId="39" fillId="36" borderId="47" applyNumberFormat="0" applyAlignment="0" applyProtection="0"/>
    <xf numFmtId="9" fontId="38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41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82">
    <xf numFmtId="0" fontId="0" fillId="0" borderId="0" xfId="0"/>
    <xf numFmtId="188" fontId="3" fillId="0" borderId="0" xfId="1" applyNumberFormat="1" applyFont="1" applyAlignment="1">
      <alignment horizontal="center"/>
    </xf>
    <xf numFmtId="3" fontId="4" fillId="0" borderId="0" xfId="1" applyNumberFormat="1" applyFont="1"/>
    <xf numFmtId="0" fontId="4" fillId="0" borderId="0" xfId="1" applyFont="1"/>
    <xf numFmtId="188" fontId="3" fillId="0" borderId="0" xfId="1" applyNumberFormat="1" applyFont="1" applyAlignment="1">
      <alignment horizontal="left"/>
    </xf>
    <xf numFmtId="188" fontId="5" fillId="0" borderId="0" xfId="1" applyNumberFormat="1" applyFont="1" applyAlignment="1">
      <alignment horizontal="center"/>
    </xf>
    <xf numFmtId="0" fontId="7" fillId="0" borderId="0" xfId="1" applyFont="1"/>
    <xf numFmtId="0" fontId="7" fillId="0" borderId="0" xfId="1" applyFont="1" applyAlignment="1">
      <alignment vertical="top"/>
    </xf>
    <xf numFmtId="188" fontId="6" fillId="9" borderId="1" xfId="1" applyNumberFormat="1" applyFont="1" applyFill="1" applyBorder="1" applyAlignment="1">
      <alignment horizontal="center" vertical="center"/>
    </xf>
    <xf numFmtId="0" fontId="7" fillId="9" borderId="0" xfId="1" applyFont="1" applyFill="1"/>
    <xf numFmtId="188" fontId="9" fillId="5" borderId="16" xfId="1" applyNumberFormat="1" applyFont="1" applyFill="1" applyBorder="1" applyAlignment="1">
      <alignment vertical="top" wrapText="1"/>
    </xf>
    <xf numFmtId="0" fontId="11" fillId="10" borderId="0" xfId="1" applyFont="1" applyFill="1" applyAlignment="1">
      <alignment vertical="top"/>
    </xf>
    <xf numFmtId="188" fontId="6" fillId="6" borderId="19" xfId="1" applyNumberFormat="1" applyFont="1" applyFill="1" applyBorder="1" applyAlignment="1">
      <alignment horizontal="left" vertical="top"/>
    </xf>
    <xf numFmtId="188" fontId="6" fillId="6" borderId="20" xfId="1" applyNumberFormat="1" applyFont="1" applyFill="1" applyBorder="1" applyAlignment="1">
      <alignment horizontal="left" vertical="top"/>
    </xf>
    <xf numFmtId="188" fontId="6" fillId="6" borderId="21" xfId="1" applyNumberFormat="1" applyFont="1" applyFill="1" applyBorder="1" applyAlignment="1">
      <alignment horizontal="center" vertical="top"/>
    </xf>
    <xf numFmtId="0" fontId="7" fillId="11" borderId="23" xfId="1" applyFont="1" applyFill="1" applyBorder="1" applyAlignment="1">
      <alignment vertical="top"/>
    </xf>
    <xf numFmtId="188" fontId="6" fillId="7" borderId="7" xfId="1" applyNumberFormat="1" applyFont="1" applyFill="1" applyBorder="1" applyAlignment="1">
      <alignment horizontal="center" vertical="top" wrapText="1"/>
    </xf>
    <xf numFmtId="190" fontId="6" fillId="0" borderId="8" xfId="1" quotePrefix="1" applyNumberFormat="1" applyFont="1" applyBorder="1" applyAlignment="1">
      <alignment horizontal="left" vertical="top"/>
    </xf>
    <xf numFmtId="188" fontId="6" fillId="0" borderId="9" xfId="1" applyNumberFormat="1" applyFont="1" applyBorder="1" applyAlignment="1">
      <alignment horizontal="left" vertical="top"/>
    </xf>
    <xf numFmtId="188" fontId="6" fillId="0" borderId="8" xfId="1" applyNumberFormat="1" applyFont="1" applyBorder="1" applyAlignment="1">
      <alignment horizontal="center" vertical="top"/>
    </xf>
    <xf numFmtId="188" fontId="9" fillId="5" borderId="16" xfId="1" applyNumberFormat="1" applyFont="1" applyFill="1" applyBorder="1" applyAlignment="1">
      <alignment horizontal="center" vertical="top"/>
    </xf>
    <xf numFmtId="188" fontId="11" fillId="0" borderId="0" xfId="1" applyNumberFormat="1" applyFont="1" applyAlignment="1">
      <alignment vertical="top"/>
    </xf>
    <xf numFmtId="0" fontId="11" fillId="0" borderId="0" xfId="1" applyFont="1" applyAlignment="1">
      <alignment vertical="top"/>
    </xf>
    <xf numFmtId="188" fontId="9" fillId="12" borderId="11" xfId="1" applyNumberFormat="1" applyFont="1" applyFill="1" applyBorder="1" applyAlignment="1">
      <alignment vertical="top" wrapText="1"/>
    </xf>
    <xf numFmtId="0" fontId="11" fillId="0" borderId="23" xfId="1" applyFont="1" applyBorder="1" applyAlignment="1">
      <alignment vertical="top"/>
    </xf>
    <xf numFmtId="0" fontId="7" fillId="0" borderId="23" xfId="1" applyFont="1" applyBorder="1" applyAlignment="1">
      <alignment vertical="top"/>
    </xf>
    <xf numFmtId="188" fontId="6" fillId="7" borderId="4" xfId="1" applyNumberFormat="1" applyFont="1" applyFill="1" applyBorder="1" applyAlignment="1">
      <alignment horizontal="center" vertical="top" wrapText="1"/>
    </xf>
    <xf numFmtId="190" fontId="6" fillId="0" borderId="24" xfId="1" quotePrefix="1" applyNumberFormat="1" applyFont="1" applyBorder="1" applyAlignment="1">
      <alignment horizontal="left" vertical="top"/>
    </xf>
    <xf numFmtId="188" fontId="6" fillId="0" borderId="25" xfId="1" applyNumberFormat="1" applyFont="1" applyBorder="1" applyAlignment="1">
      <alignment horizontal="left" vertical="top"/>
    </xf>
    <xf numFmtId="188" fontId="6" fillId="0" borderId="24" xfId="1" applyNumberFormat="1" applyFont="1" applyBorder="1" applyAlignment="1">
      <alignment horizontal="center" vertical="top"/>
    </xf>
    <xf numFmtId="190" fontId="6" fillId="0" borderId="27" xfId="1" quotePrefix="1" applyNumberFormat="1" applyFont="1" applyBorder="1" applyAlignment="1">
      <alignment horizontal="left" vertical="top"/>
    </xf>
    <xf numFmtId="188" fontId="6" fillId="0" borderId="28" xfId="1" applyNumberFormat="1" applyFont="1" applyBorder="1" applyAlignment="1">
      <alignment horizontal="left" vertical="top"/>
    </xf>
    <xf numFmtId="188" fontId="6" fillId="0" borderId="27" xfId="1" applyNumberFormat="1" applyFont="1" applyBorder="1" applyAlignment="1">
      <alignment horizontal="center" vertical="top"/>
    </xf>
    <xf numFmtId="190" fontId="6" fillId="0" borderId="30" xfId="1" quotePrefix="1" applyNumberFormat="1" applyFont="1" applyBorder="1" applyAlignment="1">
      <alignment horizontal="left" vertical="top"/>
    </xf>
    <xf numFmtId="188" fontId="6" fillId="0" borderId="31" xfId="1" applyNumberFormat="1" applyFont="1" applyBorder="1" applyAlignment="1">
      <alignment horizontal="left" vertical="top"/>
    </xf>
    <xf numFmtId="188" fontId="6" fillId="0" borderId="30" xfId="1" applyNumberFormat="1" applyFont="1" applyBorder="1" applyAlignment="1">
      <alignment horizontal="center" vertical="top"/>
    </xf>
    <xf numFmtId="188" fontId="6" fillId="0" borderId="31" xfId="1" applyNumberFormat="1" applyFont="1" applyBorder="1" applyAlignment="1">
      <alignment horizontal="left" vertical="top" wrapText="1"/>
    </xf>
    <xf numFmtId="190" fontId="12" fillId="13" borderId="30" xfId="1" quotePrefix="1" applyNumberFormat="1" applyFont="1" applyFill="1" applyBorder="1" applyAlignment="1">
      <alignment horizontal="left" vertical="top"/>
    </xf>
    <xf numFmtId="188" fontId="12" fillId="0" borderId="31" xfId="1" applyNumberFormat="1" applyFont="1" applyBorder="1" applyAlignment="1">
      <alignment horizontal="left" vertical="top"/>
    </xf>
    <xf numFmtId="188" fontId="12" fillId="13" borderId="30" xfId="1" applyNumberFormat="1" applyFont="1" applyFill="1" applyBorder="1" applyAlignment="1">
      <alignment horizontal="center" vertical="top"/>
    </xf>
    <xf numFmtId="0" fontId="14" fillId="13" borderId="0" xfId="1" applyFont="1" applyFill="1" applyAlignment="1">
      <alignment vertical="top"/>
    </xf>
    <xf numFmtId="190" fontId="12" fillId="0" borderId="30" xfId="1" quotePrefix="1" applyNumberFormat="1" applyFont="1" applyBorder="1" applyAlignment="1">
      <alignment horizontal="left" vertical="top"/>
    </xf>
    <xf numFmtId="188" fontId="12" fillId="0" borderId="30" xfId="1" applyNumberFormat="1" applyFont="1" applyBorder="1" applyAlignment="1">
      <alignment horizontal="center" vertical="top"/>
    </xf>
    <xf numFmtId="0" fontId="14" fillId="0" borderId="0" xfId="1" applyFont="1" applyAlignment="1">
      <alignment vertical="top"/>
    </xf>
    <xf numFmtId="190" fontId="6" fillId="13" borderId="30" xfId="1" quotePrefix="1" applyNumberFormat="1" applyFont="1" applyFill="1" applyBorder="1" applyAlignment="1">
      <alignment horizontal="left" vertical="top"/>
    </xf>
    <xf numFmtId="188" fontId="6" fillId="13" borderId="31" xfId="1" applyNumberFormat="1" applyFont="1" applyFill="1" applyBorder="1" applyAlignment="1">
      <alignment horizontal="left" vertical="top" wrapText="1"/>
    </xf>
    <xf numFmtId="188" fontId="6" fillId="13" borderId="30" xfId="1" applyNumberFormat="1" applyFont="1" applyFill="1" applyBorder="1" applyAlignment="1">
      <alignment horizontal="center" vertical="top"/>
    </xf>
    <xf numFmtId="0" fontId="7" fillId="13" borderId="0" xfId="1" applyFont="1" applyFill="1" applyAlignment="1">
      <alignment vertical="top"/>
    </xf>
    <xf numFmtId="188" fontId="6" fillId="13" borderId="31" xfId="1" applyNumberFormat="1" applyFont="1" applyFill="1" applyBorder="1" applyAlignment="1">
      <alignment horizontal="left" vertical="top"/>
    </xf>
    <xf numFmtId="188" fontId="6" fillId="0" borderId="30" xfId="1" applyNumberFormat="1" applyFont="1" applyBorder="1" applyAlignment="1">
      <alignment horizontal="center" vertical="top" wrapText="1"/>
    </xf>
    <xf numFmtId="188" fontId="7" fillId="13" borderId="0" xfId="1" applyNumberFormat="1" applyFont="1" applyFill="1" applyAlignment="1">
      <alignment vertical="top"/>
    </xf>
    <xf numFmtId="188" fontId="6" fillId="13" borderId="32" xfId="1" applyNumberFormat="1" applyFont="1" applyFill="1" applyBorder="1" applyAlignment="1">
      <alignment horizontal="center" vertical="top"/>
    </xf>
    <xf numFmtId="189" fontId="9" fillId="5" borderId="33" xfId="2" applyNumberFormat="1" applyFont="1" applyFill="1" applyBorder="1" applyAlignment="1">
      <alignment horizontal="center" vertical="top"/>
    </xf>
    <xf numFmtId="188" fontId="9" fillId="14" borderId="7" xfId="1" applyNumberFormat="1" applyFont="1" applyFill="1" applyBorder="1" applyAlignment="1">
      <alignment vertical="top" wrapText="1"/>
    </xf>
    <xf numFmtId="0" fontId="11" fillId="0" borderId="4" xfId="1" applyFont="1" applyBorder="1" applyAlignment="1">
      <alignment vertical="top"/>
    </xf>
    <xf numFmtId="188" fontId="6" fillId="3" borderId="4" xfId="1" applyNumberFormat="1" applyFont="1" applyFill="1" applyBorder="1" applyAlignment="1">
      <alignment horizontal="center" vertical="top"/>
    </xf>
    <xf numFmtId="188" fontId="7" fillId="0" borderId="4" xfId="1" applyNumberFormat="1" applyFont="1" applyBorder="1" applyAlignment="1">
      <alignment vertical="top"/>
    </xf>
    <xf numFmtId="0" fontId="7" fillId="0" borderId="4" xfId="1" applyFont="1" applyBorder="1" applyAlignment="1">
      <alignment vertical="top"/>
    </xf>
    <xf numFmtId="188" fontId="6" fillId="5" borderId="4" xfId="1" applyNumberFormat="1" applyFont="1" applyFill="1" applyBorder="1" applyAlignment="1">
      <alignment horizontal="center" vertical="top"/>
    </xf>
    <xf numFmtId="188" fontId="6" fillId="0" borderId="25" xfId="1" applyNumberFormat="1" applyFont="1" applyBorder="1" applyAlignment="1">
      <alignment horizontal="left" vertical="top" wrapText="1"/>
    </xf>
    <xf numFmtId="190" fontId="6" fillId="13" borderId="27" xfId="1" quotePrefix="1" applyNumberFormat="1" applyFont="1" applyFill="1" applyBorder="1" applyAlignment="1">
      <alignment horizontal="left" vertical="top"/>
    </xf>
    <xf numFmtId="188" fontId="6" fillId="13" borderId="28" xfId="1" applyNumberFormat="1" applyFont="1" applyFill="1" applyBorder="1" applyAlignment="1">
      <alignment horizontal="left" vertical="top" wrapText="1"/>
    </xf>
    <xf numFmtId="188" fontId="6" fillId="13" borderId="27" xfId="1" applyNumberFormat="1" applyFont="1" applyFill="1" applyBorder="1" applyAlignment="1">
      <alignment horizontal="center" vertical="top"/>
    </xf>
    <xf numFmtId="0" fontId="11" fillId="15" borderId="0" xfId="1" applyFont="1" applyFill="1" applyAlignment="1">
      <alignment vertical="top"/>
    </xf>
    <xf numFmtId="190" fontId="6" fillId="13" borderId="24" xfId="1" quotePrefix="1" applyNumberFormat="1" applyFont="1" applyFill="1" applyBorder="1" applyAlignment="1">
      <alignment horizontal="left" vertical="top"/>
    </xf>
    <xf numFmtId="188" fontId="6" fillId="13" borderId="25" xfId="1" applyNumberFormat="1" applyFont="1" applyFill="1" applyBorder="1" applyAlignment="1">
      <alignment horizontal="left" vertical="top"/>
    </xf>
    <xf numFmtId="188" fontId="6" fillId="13" borderId="24" xfId="1" applyNumberFormat="1" applyFont="1" applyFill="1" applyBorder="1" applyAlignment="1">
      <alignment horizontal="center" vertical="top"/>
    </xf>
    <xf numFmtId="188" fontId="6" fillId="13" borderId="36" xfId="1" applyNumberFormat="1" applyFont="1" applyFill="1" applyBorder="1" applyAlignment="1">
      <alignment horizontal="center" vertical="top"/>
    </xf>
    <xf numFmtId="188" fontId="6" fillId="13" borderId="37" xfId="1" applyNumberFormat="1" applyFont="1" applyFill="1" applyBorder="1" applyAlignment="1">
      <alignment horizontal="center" vertical="top"/>
    </xf>
    <xf numFmtId="188" fontId="6" fillId="16" borderId="4" xfId="1" applyNumberFormat="1" applyFont="1" applyFill="1" applyBorder="1" applyAlignment="1">
      <alignment horizontal="center" vertical="top" wrapText="1"/>
    </xf>
    <xf numFmtId="0" fontId="11" fillId="16" borderId="0" xfId="1" applyFont="1" applyFill="1" applyAlignment="1">
      <alignment vertical="top"/>
    </xf>
    <xf numFmtId="188" fontId="6" fillId="13" borderId="27" xfId="1" applyNumberFormat="1" applyFont="1" applyFill="1" applyBorder="1" applyAlignment="1">
      <alignment horizontal="center" vertical="top" wrapText="1"/>
    </xf>
    <xf numFmtId="188" fontId="6" fillId="13" borderId="25" xfId="1" applyNumberFormat="1" applyFont="1" applyFill="1" applyBorder="1" applyAlignment="1">
      <alignment horizontal="left" vertical="top" wrapText="1"/>
    </xf>
    <xf numFmtId="188" fontId="6" fillId="13" borderId="38" xfId="1" applyNumberFormat="1" applyFont="1" applyFill="1" applyBorder="1" applyAlignment="1">
      <alignment horizontal="center" vertical="top" wrapText="1"/>
    </xf>
    <xf numFmtId="188" fontId="6" fillId="13" borderId="37" xfId="1" applyNumberFormat="1" applyFont="1" applyFill="1" applyBorder="1" applyAlignment="1">
      <alignment horizontal="center" vertical="top" wrapText="1"/>
    </xf>
    <xf numFmtId="49" fontId="6" fillId="13" borderId="27" xfId="1" applyNumberFormat="1" applyFont="1" applyFill="1" applyBorder="1" applyAlignment="1">
      <alignment horizontal="left" vertical="top"/>
    </xf>
    <xf numFmtId="0" fontId="7" fillId="13" borderId="0" xfId="1" applyFont="1" applyFill="1" applyAlignment="1">
      <alignment horizontal="left" vertical="top"/>
    </xf>
    <xf numFmtId="190" fontId="15" fillId="13" borderId="30" xfId="4" quotePrefix="1" applyNumberFormat="1" applyFont="1" applyFill="1" applyBorder="1" applyAlignment="1">
      <alignment horizontal="left" vertical="top"/>
    </xf>
    <xf numFmtId="188" fontId="15" fillId="13" borderId="31" xfId="4" applyNumberFormat="1" applyFont="1" applyFill="1" applyBorder="1" applyAlignment="1">
      <alignment horizontal="left" vertical="top" wrapText="1"/>
    </xf>
    <xf numFmtId="188" fontId="15" fillId="13" borderId="30" xfId="4" applyNumberFormat="1" applyFont="1" applyFill="1" applyBorder="1" applyAlignment="1">
      <alignment horizontal="center" vertical="top"/>
    </xf>
    <xf numFmtId="189" fontId="15" fillId="13" borderId="31" xfId="2" applyNumberFormat="1" applyFont="1" applyFill="1" applyBorder="1" applyAlignment="1">
      <alignment horizontal="center" vertical="top"/>
    </xf>
    <xf numFmtId="189" fontId="15" fillId="13" borderId="32" xfId="2" applyNumberFormat="1" applyFont="1" applyFill="1" applyBorder="1" applyAlignment="1">
      <alignment horizontal="right" vertical="top"/>
    </xf>
    <xf numFmtId="0" fontId="17" fillId="13" borderId="0" xfId="1" applyFont="1" applyFill="1" applyAlignment="1">
      <alignment vertical="top"/>
    </xf>
    <xf numFmtId="0" fontId="11" fillId="13" borderId="0" xfId="1" applyFont="1" applyFill="1" applyAlignment="1">
      <alignment vertical="top"/>
    </xf>
    <xf numFmtId="188" fontId="12" fillId="0" borderId="31" xfId="1" applyNumberFormat="1" applyFont="1" applyBorder="1" applyAlignment="1">
      <alignment horizontal="left" vertical="top" wrapText="1"/>
    </xf>
    <xf numFmtId="190" fontId="12" fillId="0" borderId="27" xfId="1" quotePrefix="1" applyNumberFormat="1" applyFont="1" applyBorder="1" applyAlignment="1">
      <alignment horizontal="left" vertical="top"/>
    </xf>
    <xf numFmtId="188" fontId="12" fillId="0" borderId="28" xfId="1" applyNumberFormat="1" applyFont="1" applyBorder="1" applyAlignment="1">
      <alignment horizontal="left" vertical="top" wrapText="1"/>
    </xf>
    <xf numFmtId="188" fontId="12" fillId="0" borderId="27" xfId="1" applyNumberFormat="1" applyFont="1" applyBorder="1" applyAlignment="1">
      <alignment horizontal="center" vertical="top"/>
    </xf>
    <xf numFmtId="188" fontId="7" fillId="0" borderId="0" xfId="1" applyNumberFormat="1" applyFont="1" applyAlignment="1">
      <alignment vertical="top"/>
    </xf>
    <xf numFmtId="188" fontId="12" fillId="13" borderId="31" xfId="1" applyNumberFormat="1" applyFont="1" applyFill="1" applyBorder="1" applyAlignment="1">
      <alignment horizontal="left" vertical="top" wrapText="1"/>
    </xf>
    <xf numFmtId="188" fontId="12" fillId="5" borderId="7" xfId="1" applyNumberFormat="1" applyFont="1" applyFill="1" applyBorder="1" applyAlignment="1">
      <alignment horizontal="center" vertical="top"/>
    </xf>
    <xf numFmtId="188" fontId="14" fillId="5" borderId="4" xfId="1" applyNumberFormat="1" applyFont="1" applyFill="1" applyBorder="1" applyAlignment="1">
      <alignment vertical="top"/>
    </xf>
    <xf numFmtId="0" fontId="14" fillId="5" borderId="4" xfId="1" applyFont="1" applyFill="1" applyBorder="1" applyAlignment="1">
      <alignment vertical="top"/>
    </xf>
    <xf numFmtId="49" fontId="6" fillId="0" borderId="24" xfId="1" applyNumberFormat="1" applyFont="1" applyBorder="1" applyAlignment="1">
      <alignment horizontal="left" vertical="top"/>
    </xf>
    <xf numFmtId="188" fontId="6" fillId="17" borderId="4" xfId="1" applyNumberFormat="1" applyFont="1" applyFill="1" applyBorder="1" applyAlignment="1">
      <alignment horizontal="center" vertical="top"/>
    </xf>
    <xf numFmtId="0" fontId="11" fillId="17" borderId="4" xfId="1" applyFont="1" applyFill="1" applyBorder="1" applyAlignment="1">
      <alignment vertical="top"/>
    </xf>
    <xf numFmtId="0" fontId="11" fillId="5" borderId="0" xfId="1" applyFont="1" applyFill="1" applyAlignment="1">
      <alignment vertical="top"/>
    </xf>
    <xf numFmtId="49" fontId="6" fillId="13" borderId="24" xfId="1" applyNumberFormat="1" applyFont="1" applyFill="1" applyBorder="1" applyAlignment="1">
      <alignment horizontal="left" vertical="top"/>
    </xf>
    <xf numFmtId="49" fontId="6" fillId="13" borderId="30" xfId="1" applyNumberFormat="1" applyFont="1" applyFill="1" applyBorder="1" applyAlignment="1">
      <alignment horizontal="left" vertical="top" wrapText="1"/>
    </xf>
    <xf numFmtId="189" fontId="9" fillId="5" borderId="16" xfId="2" applyNumberFormat="1" applyFont="1" applyFill="1" applyBorder="1" applyAlignment="1">
      <alignment horizontal="center" vertical="top"/>
    </xf>
    <xf numFmtId="188" fontId="9" fillId="4" borderId="8" xfId="1" applyNumberFormat="1" applyFont="1" applyFill="1" applyBorder="1" applyAlignment="1">
      <alignment vertical="top" wrapText="1"/>
    </xf>
    <xf numFmtId="188" fontId="12" fillId="3" borderId="7" xfId="1" applyNumberFormat="1" applyFont="1" applyFill="1" applyBorder="1" applyAlignment="1">
      <alignment horizontal="center" vertical="top"/>
    </xf>
    <xf numFmtId="188" fontId="14" fillId="0" borderId="4" xfId="1" applyNumberFormat="1" applyFont="1" applyBorder="1" applyAlignment="1">
      <alignment vertical="top"/>
    </xf>
    <xf numFmtId="0" fontId="14" fillId="0" borderId="4" xfId="1" applyFont="1" applyBorder="1" applyAlignment="1">
      <alignment vertical="top"/>
    </xf>
    <xf numFmtId="49" fontId="6" fillId="0" borderId="30" xfId="1" applyNumberFormat="1" applyFont="1" applyBorder="1" applyAlignment="1">
      <alignment horizontal="left" vertical="top"/>
    </xf>
    <xf numFmtId="49" fontId="6" fillId="0" borderId="19" xfId="1" applyNumberFormat="1" applyFont="1" applyBorder="1" applyAlignment="1">
      <alignment horizontal="left" vertical="top"/>
    </xf>
    <xf numFmtId="188" fontId="6" fillId="0" borderId="20" xfId="1" applyNumberFormat="1" applyFont="1" applyBorder="1" applyAlignment="1">
      <alignment horizontal="left" vertical="top" wrapText="1"/>
    </xf>
    <xf numFmtId="188" fontId="6" fillId="0" borderId="21" xfId="1" applyNumberFormat="1" applyFont="1" applyBorder="1" applyAlignment="1">
      <alignment horizontal="center" vertical="top" wrapText="1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center"/>
    </xf>
    <xf numFmtId="189" fontId="6" fillId="0" borderId="0" xfId="2" applyNumberFormat="1" applyFont="1" applyAlignment="1">
      <alignment horizontal="center"/>
    </xf>
    <xf numFmtId="0" fontId="12" fillId="0" borderId="0" xfId="1" applyFont="1"/>
    <xf numFmtId="189" fontId="12" fillId="0" borderId="0" xfId="3" applyNumberFormat="1" applyFont="1"/>
    <xf numFmtId="189" fontId="12" fillId="0" borderId="0" xfId="3" applyNumberFormat="1" applyFont="1" applyFill="1"/>
    <xf numFmtId="0" fontId="14" fillId="0" borderId="0" xfId="1" applyFont="1"/>
    <xf numFmtId="189" fontId="12" fillId="0" borderId="0" xfId="1" applyNumberFormat="1" applyFont="1"/>
    <xf numFmtId="189" fontId="12" fillId="0" borderId="0" xfId="2" applyNumberFormat="1" applyFont="1"/>
    <xf numFmtId="0" fontId="45" fillId="0" borderId="0" xfId="163" applyFont="1"/>
    <xf numFmtId="0" fontId="45" fillId="0" borderId="0" xfId="163" applyFont="1" applyAlignment="1">
      <alignment horizontal="right"/>
    </xf>
    <xf numFmtId="0" fontId="46" fillId="0" borderId="0" xfId="163" applyFont="1"/>
    <xf numFmtId="0" fontId="46" fillId="0" borderId="0" xfId="163" applyFont="1" applyAlignment="1">
      <alignment horizontal="right"/>
    </xf>
    <xf numFmtId="0" fontId="46" fillId="40" borderId="6" xfId="163" applyFont="1" applyFill="1" applyBorder="1" applyAlignment="1" applyProtection="1">
      <alignment horizontal="center" vertical="center"/>
      <protection locked="0"/>
    </xf>
    <xf numFmtId="0" fontId="46" fillId="40" borderId="13" xfId="163" applyFont="1" applyFill="1" applyBorder="1" applyAlignment="1" applyProtection="1">
      <alignment horizontal="center" vertical="center"/>
      <protection locked="0"/>
    </xf>
    <xf numFmtId="43" fontId="46" fillId="0" borderId="3" xfId="75" applyFont="1" applyFill="1" applyBorder="1" applyAlignment="1" applyProtection="1">
      <alignment horizontal="center"/>
      <protection hidden="1"/>
    </xf>
    <xf numFmtId="0" fontId="8" fillId="0" borderId="49" xfId="163" applyFont="1" applyBorder="1" applyAlignment="1">
      <alignment horizontal="center"/>
    </xf>
    <xf numFmtId="0" fontId="8" fillId="0" borderId="49" xfId="163" applyFont="1" applyBorder="1" applyAlignment="1" applyProtection="1">
      <alignment horizontal="center"/>
      <protection hidden="1"/>
    </xf>
    <xf numFmtId="43" fontId="8" fillId="0" borderId="49" xfId="163" applyNumberFormat="1" applyFont="1" applyBorder="1" applyAlignment="1" applyProtection="1">
      <alignment horizontal="center"/>
      <protection locked="0"/>
    </xf>
    <xf numFmtId="43" fontId="48" fillId="0" borderId="49" xfId="75" applyFont="1" applyFill="1" applyBorder="1" applyAlignment="1" applyProtection="1">
      <alignment vertical="center"/>
      <protection hidden="1"/>
    </xf>
    <xf numFmtId="0" fontId="49" fillId="0" borderId="0" xfId="163" applyFont="1"/>
    <xf numFmtId="0" fontId="49" fillId="0" borderId="0" xfId="163" applyFont="1" applyAlignment="1">
      <alignment horizontal="right"/>
    </xf>
    <xf numFmtId="0" fontId="8" fillId="0" borderId="13" xfId="163" applyFont="1" applyBorder="1" applyAlignment="1">
      <alignment horizontal="center"/>
    </xf>
    <xf numFmtId="0" fontId="8" fillId="0" borderId="13" xfId="163" applyFont="1" applyBorder="1" applyAlignment="1" applyProtection="1">
      <alignment horizontal="center"/>
      <protection hidden="1"/>
    </xf>
    <xf numFmtId="43" fontId="8" fillId="0" borderId="13" xfId="163" applyNumberFormat="1" applyFont="1" applyBorder="1" applyAlignment="1" applyProtection="1">
      <alignment horizontal="center"/>
      <protection locked="0"/>
    </xf>
    <xf numFmtId="43" fontId="8" fillId="0" borderId="13" xfId="75" applyFont="1" applyBorder="1" applyProtection="1">
      <protection hidden="1"/>
    </xf>
    <xf numFmtId="43" fontId="48" fillId="0" borderId="13" xfId="75" applyFont="1" applyFill="1" applyBorder="1" applyAlignment="1" applyProtection="1">
      <alignment vertical="center"/>
      <protection locked="0"/>
    </xf>
    <xf numFmtId="43" fontId="50" fillId="0" borderId="13" xfId="75" applyFont="1" applyFill="1" applyBorder="1" applyAlignment="1" applyProtection="1">
      <alignment vertical="center"/>
      <protection locked="0"/>
    </xf>
    <xf numFmtId="0" fontId="8" fillId="0" borderId="3" xfId="163" applyFont="1" applyBorder="1" applyAlignment="1">
      <alignment horizontal="center"/>
    </xf>
    <xf numFmtId="0" fontId="8" fillId="0" borderId="3" xfId="163" applyFont="1" applyBorder="1" applyAlignment="1" applyProtection="1">
      <alignment horizontal="center"/>
      <protection hidden="1"/>
    </xf>
    <xf numFmtId="43" fontId="8" fillId="0" borderId="3" xfId="163" applyNumberFormat="1" applyFont="1" applyBorder="1" applyAlignment="1" applyProtection="1">
      <alignment horizontal="center"/>
      <protection locked="0"/>
    </xf>
    <xf numFmtId="43" fontId="48" fillId="0" borderId="3" xfId="75" applyFont="1" applyFill="1" applyBorder="1" applyAlignment="1" applyProtection="1">
      <alignment vertical="center"/>
      <protection hidden="1"/>
    </xf>
    <xf numFmtId="0" fontId="8" fillId="0" borderId="3" xfId="420" applyFont="1" applyBorder="1" applyAlignment="1" applyProtection="1">
      <alignment horizontal="left"/>
      <protection hidden="1"/>
    </xf>
    <xf numFmtId="43" fontId="8" fillId="0" borderId="3" xfId="420" applyNumberFormat="1" applyFont="1" applyBorder="1" applyAlignment="1" applyProtection="1">
      <alignment horizontal="left"/>
      <protection locked="0"/>
    </xf>
    <xf numFmtId="43" fontId="8" fillId="0" borderId="3" xfId="75" applyFont="1" applyBorder="1" applyProtection="1">
      <protection hidden="1"/>
    </xf>
    <xf numFmtId="43" fontId="8" fillId="0" borderId="3" xfId="75" applyFont="1" applyBorder="1" applyProtection="1">
      <protection locked="0"/>
    </xf>
    <xf numFmtId="43" fontId="13" fillId="0" borderId="3" xfId="75" applyFont="1" applyBorder="1" applyProtection="1">
      <protection locked="0"/>
    </xf>
    <xf numFmtId="0" fontId="8" fillId="0" borderId="0" xfId="163" applyFont="1" applyAlignment="1">
      <alignment horizontal="center"/>
    </xf>
    <xf numFmtId="43" fontId="45" fillId="0" borderId="0" xfId="75" applyFont="1"/>
    <xf numFmtId="0" fontId="6" fillId="0" borderId="50" xfId="163" applyFont="1" applyBorder="1" applyProtection="1">
      <protection locked="0"/>
    </xf>
    <xf numFmtId="189" fontId="6" fillId="7" borderId="4" xfId="2" applyNumberFormat="1" applyFont="1" applyFill="1" applyBorder="1" applyAlignment="1">
      <alignment horizontal="center"/>
    </xf>
    <xf numFmtId="188" fontId="6" fillId="5" borderId="3" xfId="1" applyNumberFormat="1" applyFont="1" applyFill="1" applyBorder="1" applyAlignment="1">
      <alignment horizontal="center" vertical="top"/>
    </xf>
    <xf numFmtId="189" fontId="6" fillId="6" borderId="3" xfId="2" applyNumberFormat="1" applyFont="1" applyFill="1" applyBorder="1" applyAlignment="1">
      <alignment horizontal="center" vertical="top"/>
    </xf>
    <xf numFmtId="189" fontId="6" fillId="7" borderId="3" xfId="2" applyNumberFormat="1" applyFont="1" applyFill="1" applyBorder="1" applyAlignment="1">
      <alignment horizontal="center" vertical="top"/>
    </xf>
    <xf numFmtId="189" fontId="6" fillId="8" borderId="3" xfId="2" applyNumberFormat="1" applyFont="1" applyFill="1" applyBorder="1" applyAlignment="1">
      <alignment horizontal="center" vertical="top"/>
    </xf>
    <xf numFmtId="189" fontId="6" fillId="8" borderId="7" xfId="2" applyNumberFormat="1" applyFont="1" applyFill="1" applyBorder="1" applyAlignment="1">
      <alignment horizontal="center" vertical="top"/>
    </xf>
    <xf numFmtId="188" fontId="6" fillId="9" borderId="14" xfId="1" applyNumberFormat="1" applyFont="1" applyFill="1" applyBorder="1"/>
    <xf numFmtId="188" fontId="6" fillId="9" borderId="15" xfId="1" applyNumberFormat="1" applyFont="1" applyFill="1" applyBorder="1"/>
    <xf numFmtId="43" fontId="8" fillId="13" borderId="32" xfId="2" applyFont="1" applyFill="1" applyBorder="1" applyAlignment="1">
      <alignment horizontal="right" vertical="top"/>
    </xf>
    <xf numFmtId="43" fontId="8" fillId="0" borderId="26" xfId="2" applyFont="1" applyFill="1" applyBorder="1" applyAlignment="1">
      <alignment horizontal="right" vertical="top"/>
    </xf>
    <xf numFmtId="43" fontId="8" fillId="13" borderId="32" xfId="2" applyFont="1" applyFill="1" applyBorder="1" applyAlignment="1">
      <alignment horizontal="center" vertical="top"/>
    </xf>
    <xf numFmtId="43" fontId="8" fillId="9" borderId="6" xfId="2" applyFont="1" applyFill="1" applyBorder="1" applyAlignment="1">
      <alignment horizontal="right" vertical="center"/>
    </xf>
    <xf numFmtId="43" fontId="10" fillId="5" borderId="18" xfId="2" applyFont="1" applyFill="1" applyBorder="1" applyAlignment="1">
      <alignment vertical="top" wrapText="1"/>
    </xf>
    <xf numFmtId="43" fontId="8" fillId="6" borderId="22" xfId="2" applyFont="1" applyFill="1" applyBorder="1" applyAlignment="1">
      <alignment horizontal="center" vertical="top"/>
    </xf>
    <xf numFmtId="43" fontId="8" fillId="7" borderId="3" xfId="2" applyFont="1" applyFill="1" applyBorder="1" applyAlignment="1">
      <alignment horizontal="center" vertical="top" wrapText="1"/>
    </xf>
    <xf numFmtId="43" fontId="8" fillId="0" borderId="10" xfId="2" applyFont="1" applyFill="1" applyBorder="1" applyAlignment="1">
      <alignment horizontal="center" vertical="top"/>
    </xf>
    <xf numFmtId="43" fontId="8" fillId="0" borderId="9" xfId="2" applyFont="1" applyFill="1" applyBorder="1" applyAlignment="1">
      <alignment horizontal="center" vertical="top"/>
    </xf>
    <xf numFmtId="43" fontId="8" fillId="0" borderId="10" xfId="2" applyFont="1" applyFill="1" applyBorder="1" applyAlignment="1">
      <alignment horizontal="right" vertical="top"/>
    </xf>
    <xf numFmtId="43" fontId="10" fillId="5" borderId="18" xfId="2" applyFont="1" applyFill="1" applyBorder="1" applyAlignment="1">
      <alignment horizontal="right" vertical="top"/>
    </xf>
    <xf numFmtId="43" fontId="10" fillId="12" borderId="13" xfId="3" applyFont="1" applyFill="1" applyBorder="1" applyAlignment="1">
      <alignment vertical="top" wrapText="1"/>
    </xf>
    <xf numFmtId="43" fontId="8" fillId="6" borderId="22" xfId="2" applyFont="1" applyFill="1" applyBorder="1" applyAlignment="1">
      <alignment horizontal="right" vertical="top"/>
    </xf>
    <xf numFmtId="43" fontId="8" fillId="0" borderId="26" xfId="2" applyFont="1" applyFill="1" applyBorder="1" applyAlignment="1">
      <alignment horizontal="center" vertical="top"/>
    </xf>
    <xf numFmtId="43" fontId="8" fillId="0" borderId="29" xfId="2" applyFont="1" applyFill="1" applyBorder="1" applyAlignment="1">
      <alignment horizontal="center" vertical="top"/>
    </xf>
    <xf numFmtId="43" fontId="8" fillId="0" borderId="29" xfId="2" applyFont="1" applyFill="1" applyBorder="1" applyAlignment="1">
      <alignment horizontal="right" vertical="top"/>
    </xf>
    <xf numFmtId="43" fontId="8" fillId="0" borderId="29" xfId="2" applyFont="1" applyBorder="1" applyAlignment="1">
      <alignment horizontal="center" vertical="top"/>
    </xf>
    <xf numFmtId="43" fontId="8" fillId="7" borderId="3" xfId="2" applyFont="1" applyFill="1" applyBorder="1" applyAlignment="1">
      <alignment horizontal="right" vertical="top" wrapText="1"/>
    </xf>
    <xf numFmtId="43" fontId="8" fillId="0" borderId="32" xfId="2" applyFont="1" applyFill="1" applyBorder="1" applyAlignment="1">
      <alignment horizontal="center" vertical="top"/>
    </xf>
    <xf numFmtId="43" fontId="8" fillId="0" borderId="32" xfId="2" applyFont="1" applyFill="1" applyBorder="1" applyAlignment="1">
      <alignment horizontal="right" vertical="top"/>
    </xf>
    <xf numFmtId="43" fontId="13" fillId="13" borderId="32" xfId="2" applyFont="1" applyFill="1" applyBorder="1" applyAlignment="1">
      <alignment horizontal="right" vertical="top"/>
    </xf>
    <xf numFmtId="43" fontId="13" fillId="0" borderId="32" xfId="2" applyFont="1" applyFill="1" applyBorder="1" applyAlignment="1">
      <alignment horizontal="center" vertical="top"/>
    </xf>
    <xf numFmtId="43" fontId="13" fillId="0" borderId="32" xfId="2" applyFont="1" applyFill="1" applyBorder="1" applyAlignment="1">
      <alignment horizontal="right" vertical="top"/>
    </xf>
    <xf numFmtId="43" fontId="8" fillId="0" borderId="32" xfId="2" applyFont="1" applyFill="1" applyBorder="1" applyAlignment="1">
      <alignment vertical="top" wrapText="1"/>
    </xf>
    <xf numFmtId="43" fontId="10" fillId="0" borderId="32" xfId="2" applyFont="1" applyFill="1" applyBorder="1" applyAlignment="1">
      <alignment vertical="top" wrapText="1"/>
    </xf>
    <xf numFmtId="43" fontId="10" fillId="5" borderId="35" xfId="2" applyFont="1" applyFill="1" applyBorder="1" applyAlignment="1">
      <alignment horizontal="right" vertical="top"/>
    </xf>
    <xf numFmtId="43" fontId="10" fillId="14" borderId="3" xfId="3" applyFont="1" applyFill="1" applyBorder="1" applyAlignment="1">
      <alignment horizontal="right" vertical="top" wrapText="1"/>
    </xf>
    <xf numFmtId="43" fontId="8" fillId="3" borderId="3" xfId="2" applyFont="1" applyFill="1" applyBorder="1" applyAlignment="1">
      <alignment horizontal="right" vertical="top"/>
    </xf>
    <xf numFmtId="43" fontId="8" fillId="5" borderId="3" xfId="2" applyFont="1" applyFill="1" applyBorder="1" applyAlignment="1">
      <alignment horizontal="right" vertical="top"/>
    </xf>
    <xf numFmtId="43" fontId="8" fillId="13" borderId="29" xfId="2" applyFont="1" applyFill="1" applyBorder="1" applyAlignment="1">
      <alignment horizontal="center" vertical="top"/>
    </xf>
    <xf numFmtId="43" fontId="8" fillId="13" borderId="28" xfId="2" applyFont="1" applyFill="1" applyBorder="1" applyAlignment="1">
      <alignment horizontal="right" vertical="top"/>
    </xf>
    <xf numFmtId="43" fontId="8" fillId="13" borderId="29" xfId="2" applyFont="1" applyFill="1" applyBorder="1" applyAlignment="1">
      <alignment horizontal="right" vertical="top"/>
    </xf>
    <xf numFmtId="43" fontId="8" fillId="13" borderId="28" xfId="2" applyFont="1" applyFill="1" applyBorder="1" applyAlignment="1">
      <alignment horizontal="center" vertical="top"/>
    </xf>
    <xf numFmtId="43" fontId="8" fillId="13" borderId="26" xfId="2" applyFont="1" applyFill="1" applyBorder="1" applyAlignment="1">
      <alignment horizontal="center" vertical="top"/>
    </xf>
    <xf numFmtId="43" fontId="8" fillId="13" borderId="26" xfId="2" applyFont="1" applyFill="1" applyBorder="1" applyAlignment="1">
      <alignment horizontal="right" vertical="top"/>
    </xf>
    <xf numFmtId="43" fontId="8" fillId="13" borderId="31" xfId="2" applyFont="1" applyFill="1" applyBorder="1" applyAlignment="1">
      <alignment horizontal="right" vertical="top"/>
    </xf>
    <xf numFmtId="43" fontId="8" fillId="16" borderId="3" xfId="2" applyFont="1" applyFill="1" applyBorder="1" applyAlignment="1">
      <alignment horizontal="right" vertical="top" wrapText="1"/>
    </xf>
    <xf numFmtId="43" fontId="8" fillId="13" borderId="31" xfId="3" applyFont="1" applyFill="1" applyBorder="1" applyAlignment="1">
      <alignment horizontal="center" vertical="top"/>
    </xf>
    <xf numFmtId="43" fontId="8" fillId="13" borderId="26" xfId="3" applyFont="1" applyFill="1" applyBorder="1" applyAlignment="1">
      <alignment horizontal="center" vertical="top"/>
    </xf>
    <xf numFmtId="43" fontId="8" fillId="13" borderId="25" xfId="3" applyFont="1" applyFill="1" applyBorder="1" applyAlignment="1">
      <alignment horizontal="right" vertical="top"/>
    </xf>
    <xf numFmtId="43" fontId="16" fillId="13" borderId="32" xfId="2" applyFont="1" applyFill="1" applyBorder="1" applyAlignment="1">
      <alignment horizontal="center" vertical="top"/>
    </xf>
    <xf numFmtId="43" fontId="16" fillId="13" borderId="32" xfId="2" applyFont="1" applyFill="1" applyBorder="1" applyAlignment="1">
      <alignment horizontal="right" vertical="top"/>
    </xf>
    <xf numFmtId="43" fontId="16" fillId="13" borderId="30" xfId="2" applyFont="1" applyFill="1" applyBorder="1" applyAlignment="1">
      <alignment horizontal="right" vertical="top"/>
    </xf>
    <xf numFmtId="43" fontId="16" fillId="13" borderId="32" xfId="4" applyNumberFormat="1" applyFont="1" applyFill="1" applyBorder="1" applyAlignment="1">
      <alignment horizontal="right" vertical="top"/>
    </xf>
    <xf numFmtId="43" fontId="16" fillId="13" borderId="36" xfId="4" applyNumberFormat="1" applyFont="1" applyFill="1" applyBorder="1" applyAlignment="1">
      <alignment horizontal="right" vertical="top"/>
    </xf>
    <xf numFmtId="43" fontId="16" fillId="13" borderId="30" xfId="4" applyNumberFormat="1" applyFont="1" applyFill="1" applyBorder="1" applyAlignment="1">
      <alignment horizontal="right" vertical="top"/>
    </xf>
    <xf numFmtId="43" fontId="16" fillId="13" borderId="31" xfId="2" applyFont="1" applyFill="1" applyBorder="1" applyAlignment="1">
      <alignment horizontal="center" vertical="top"/>
    </xf>
    <xf numFmtId="43" fontId="13" fillId="0" borderId="29" xfId="2" applyFont="1" applyFill="1" applyBorder="1" applyAlignment="1">
      <alignment horizontal="right" vertical="top"/>
    </xf>
    <xf numFmtId="43" fontId="8" fillId="0" borderId="25" xfId="2" applyFont="1" applyFill="1" applyBorder="1" applyAlignment="1">
      <alignment horizontal="right" vertical="top"/>
    </xf>
    <xf numFmtId="43" fontId="8" fillId="0" borderId="26" xfId="2" applyFont="1" applyBorder="1" applyAlignment="1">
      <alignment horizontal="center" vertical="top"/>
    </xf>
    <xf numFmtId="43" fontId="8" fillId="0" borderId="28" xfId="2" applyFont="1" applyFill="1" applyBorder="1" applyAlignment="1">
      <alignment horizontal="right" vertical="top"/>
    </xf>
    <xf numFmtId="43" fontId="8" fillId="17" borderId="3" xfId="2" applyFont="1" applyFill="1" applyBorder="1" applyAlignment="1">
      <alignment horizontal="right" vertical="top"/>
    </xf>
    <xf numFmtId="43" fontId="8" fillId="13" borderId="26" xfId="3" applyFont="1" applyFill="1" applyBorder="1" applyAlignment="1">
      <alignment horizontal="right" vertical="top"/>
    </xf>
    <xf numFmtId="43" fontId="8" fillId="13" borderId="24" xfId="3" applyFont="1" applyFill="1" applyBorder="1" applyAlignment="1">
      <alignment horizontal="right" vertical="top"/>
    </xf>
    <xf numFmtId="43" fontId="8" fillId="13" borderId="32" xfId="3" applyFont="1" applyFill="1" applyBorder="1" applyAlignment="1">
      <alignment horizontal="right" vertical="top"/>
    </xf>
    <xf numFmtId="43" fontId="8" fillId="13" borderId="30" xfId="3" applyFont="1" applyFill="1" applyBorder="1" applyAlignment="1">
      <alignment horizontal="right" vertical="top"/>
    </xf>
    <xf numFmtId="43" fontId="8" fillId="13" borderId="31" xfId="3" applyFont="1" applyFill="1" applyBorder="1" applyAlignment="1">
      <alignment horizontal="right" vertical="top"/>
    </xf>
    <xf numFmtId="43" fontId="8" fillId="13" borderId="36" xfId="2" applyFont="1" applyFill="1" applyBorder="1" applyAlignment="1">
      <alignment horizontal="right" vertical="top"/>
    </xf>
    <xf numFmtId="43" fontId="10" fillId="4" borderId="10" xfId="2" applyFont="1" applyFill="1" applyBorder="1" applyAlignment="1">
      <alignment vertical="top" wrapText="1"/>
    </xf>
    <xf numFmtId="43" fontId="8" fillId="0" borderId="22" xfId="2" applyFont="1" applyFill="1" applyBorder="1" applyAlignment="1">
      <alignment horizontal="center" vertical="top"/>
    </xf>
    <xf numFmtId="43" fontId="8" fillId="0" borderId="20" xfId="2" applyFont="1" applyFill="1" applyBorder="1" applyAlignment="1">
      <alignment horizontal="right" vertical="top"/>
    </xf>
    <xf numFmtId="43" fontId="8" fillId="0" borderId="22" xfId="2" applyFont="1" applyFill="1" applyBorder="1" applyAlignment="1">
      <alignment horizontal="right" vertical="top"/>
    </xf>
    <xf numFmtId="0" fontId="8" fillId="0" borderId="0" xfId="176" applyFont="1"/>
    <xf numFmtId="0" fontId="6" fillId="0" borderId="0" xfId="176" applyFont="1" applyAlignment="1">
      <alignment horizontal="center"/>
    </xf>
    <xf numFmtId="0" fontId="51" fillId="0" borderId="0" xfId="176" applyFont="1" applyAlignment="1">
      <alignment horizontal="right"/>
    </xf>
    <xf numFmtId="0" fontId="8" fillId="0" borderId="0" xfId="176" applyFont="1" applyAlignment="1">
      <alignment horizontal="right"/>
    </xf>
    <xf numFmtId="43" fontId="52" fillId="0" borderId="0" xfId="443" applyFont="1" applyAlignment="1">
      <alignment vertical="center"/>
    </xf>
    <xf numFmtId="0" fontId="52" fillId="0" borderId="36" xfId="176" applyFont="1" applyBorder="1"/>
    <xf numFmtId="43" fontId="52" fillId="0" borderId="26" xfId="443" applyFont="1" applyFill="1" applyBorder="1"/>
    <xf numFmtId="43" fontId="52" fillId="0" borderId="26" xfId="443" applyFont="1" applyFill="1" applyBorder="1" applyAlignment="1">
      <alignment horizontal="center"/>
    </xf>
    <xf numFmtId="0" fontId="52" fillId="0" borderId="25" xfId="176" applyFont="1" applyBorder="1"/>
    <xf numFmtId="0" fontId="52" fillId="0" borderId="26" xfId="176" applyFont="1" applyBorder="1"/>
    <xf numFmtId="0" fontId="52" fillId="0" borderId="26" xfId="176" applyFont="1" applyBorder="1" applyAlignment="1">
      <alignment horizontal="center"/>
    </xf>
    <xf numFmtId="43" fontId="52" fillId="0" borderId="32" xfId="443" applyFont="1" applyFill="1" applyBorder="1"/>
    <xf numFmtId="43" fontId="52" fillId="0" borderId="32" xfId="443" applyFont="1" applyFill="1" applyBorder="1" applyAlignment="1"/>
    <xf numFmtId="0" fontId="52" fillId="0" borderId="31" xfId="176" applyFont="1" applyBorder="1"/>
    <xf numFmtId="0" fontId="52" fillId="0" borderId="32" xfId="176" applyFont="1" applyBorder="1"/>
    <xf numFmtId="0" fontId="53" fillId="0" borderId="32" xfId="176" applyFont="1" applyBorder="1" applyAlignment="1">
      <alignment horizontal="center"/>
    </xf>
    <xf numFmtId="0" fontId="52" fillId="0" borderId="32" xfId="176" applyFont="1" applyBorder="1" applyAlignment="1">
      <alignment horizontal="center"/>
    </xf>
    <xf numFmtId="0" fontId="53" fillId="0" borderId="32" xfId="176" applyFont="1" applyBorder="1"/>
    <xf numFmtId="43" fontId="52" fillId="0" borderId="26" xfId="443" applyFont="1" applyFill="1" applyBorder="1" applyAlignment="1"/>
    <xf numFmtId="41" fontId="54" fillId="0" borderId="53" xfId="443" applyNumberFormat="1" applyFont="1" applyBorder="1" applyAlignment="1">
      <alignment horizontal="right"/>
    </xf>
    <xf numFmtId="43" fontId="52" fillId="0" borderId="25" xfId="443" applyFont="1" applyBorder="1"/>
    <xf numFmtId="43" fontId="52" fillId="0" borderId="26" xfId="443" applyFont="1" applyBorder="1"/>
    <xf numFmtId="43" fontId="53" fillId="0" borderId="26" xfId="443" applyFont="1" applyBorder="1" applyAlignment="1">
      <alignment horizontal="center"/>
    </xf>
    <xf numFmtId="43" fontId="52" fillId="0" borderId="32" xfId="443" applyFont="1" applyBorder="1" applyAlignment="1">
      <alignment horizontal="center"/>
    </xf>
    <xf numFmtId="43" fontId="46" fillId="0" borderId="32" xfId="443" applyFont="1" applyFill="1" applyBorder="1"/>
    <xf numFmtId="43" fontId="46" fillId="0" borderId="32" xfId="443" applyFont="1" applyFill="1" applyBorder="1" applyAlignment="1">
      <alignment horizontal="left" indent="2"/>
    </xf>
    <xf numFmtId="43" fontId="46" fillId="0" borderId="22" xfId="443" applyFont="1" applyFill="1" applyBorder="1"/>
    <xf numFmtId="43" fontId="52" fillId="0" borderId="22" xfId="443" applyFont="1" applyBorder="1"/>
    <xf numFmtId="43" fontId="52" fillId="0" borderId="22" xfId="443" applyFont="1" applyBorder="1" applyAlignment="1">
      <alignment horizontal="center"/>
    </xf>
    <xf numFmtId="0" fontId="52" fillId="0" borderId="22" xfId="176" applyFont="1" applyBorder="1"/>
    <xf numFmtId="43" fontId="46" fillId="0" borderId="0" xfId="443" applyFont="1" applyFill="1" applyBorder="1" applyAlignment="1">
      <alignment horizontal="left" indent="2"/>
    </xf>
    <xf numFmtId="43" fontId="52" fillId="0" borderId="0" xfId="443" applyFont="1" applyBorder="1"/>
    <xf numFmtId="43" fontId="52" fillId="0" borderId="0" xfId="443" applyFont="1" applyBorder="1" applyAlignment="1">
      <alignment horizontal="center"/>
    </xf>
    <xf numFmtId="0" fontId="52" fillId="0" borderId="0" xfId="176" applyFont="1"/>
    <xf numFmtId="43" fontId="46" fillId="0" borderId="0" xfId="443" applyFont="1" applyFill="1" applyBorder="1"/>
    <xf numFmtId="0" fontId="52" fillId="0" borderId="0" xfId="176" applyFont="1" applyAlignment="1">
      <alignment horizontal="center"/>
    </xf>
    <xf numFmtId="0" fontId="52" fillId="0" borderId="52" xfId="449" applyNumberFormat="1" applyFont="1" applyFill="1" applyBorder="1" applyAlignment="1">
      <alignment horizontal="center"/>
    </xf>
    <xf numFmtId="3" fontId="52" fillId="0" borderId="26" xfId="449" applyNumberFormat="1" applyFont="1" applyBorder="1" applyAlignment="1">
      <alignment horizontal="center"/>
    </xf>
    <xf numFmtId="41" fontId="52" fillId="0" borderId="38" xfId="449" applyNumberFormat="1" applyFont="1" applyBorder="1" applyAlignment="1">
      <alignment horizontal="center"/>
    </xf>
    <xf numFmtId="0" fontId="52" fillId="0" borderId="10" xfId="449" applyNumberFormat="1" applyFont="1" applyFill="1" applyBorder="1" applyAlignment="1">
      <alignment horizontal="center"/>
    </xf>
    <xf numFmtId="41" fontId="52" fillId="0" borderId="32" xfId="449" applyNumberFormat="1" applyFont="1" applyBorder="1" applyAlignment="1">
      <alignment horizontal="right"/>
    </xf>
    <xf numFmtId="41" fontId="52" fillId="0" borderId="36" xfId="449" applyNumberFormat="1" applyFont="1" applyBorder="1" applyAlignment="1">
      <alignment horizontal="right"/>
    </xf>
    <xf numFmtId="0" fontId="52" fillId="0" borderId="32" xfId="449" applyNumberFormat="1" applyFont="1" applyFill="1" applyBorder="1" applyAlignment="1">
      <alignment horizontal="center"/>
    </xf>
    <xf numFmtId="41" fontId="52" fillId="0" borderId="24" xfId="449" applyNumberFormat="1" applyFont="1" applyBorder="1" applyAlignment="1">
      <alignment horizontal="right"/>
    </xf>
    <xf numFmtId="43" fontId="8" fillId="0" borderId="3" xfId="443" applyFont="1" applyBorder="1" applyAlignment="1">
      <alignment horizontal="center" vertical="center"/>
    </xf>
    <xf numFmtId="43" fontId="8" fillId="0" borderId="51" xfId="443" applyFont="1" applyBorder="1" applyAlignment="1">
      <alignment horizontal="center" vertical="center"/>
    </xf>
    <xf numFmtId="43" fontId="8" fillId="0" borderId="5" xfId="443" applyFont="1" applyBorder="1" applyAlignment="1">
      <alignment horizontal="center" vertical="center"/>
    </xf>
    <xf numFmtId="0" fontId="8" fillId="0" borderId="49" xfId="176" applyFont="1" applyBorder="1" applyAlignment="1">
      <alignment horizontal="center"/>
    </xf>
    <xf numFmtId="3" fontId="13" fillId="0" borderId="49" xfId="449" applyNumberFormat="1" applyFont="1" applyBorder="1" applyAlignment="1">
      <alignment horizontal="center"/>
    </xf>
    <xf numFmtId="41" fontId="13" fillId="0" borderId="49" xfId="449" applyNumberFormat="1" applyFont="1" applyBorder="1" applyAlignment="1">
      <alignment horizontal="center"/>
    </xf>
    <xf numFmtId="0" fontId="8" fillId="0" borderId="49" xfId="176" applyFont="1" applyBorder="1"/>
    <xf numFmtId="43" fontId="13" fillId="0" borderId="26" xfId="2" applyFont="1" applyFill="1" applyBorder="1" applyAlignment="1">
      <alignment horizontal="right" vertical="top"/>
    </xf>
    <xf numFmtId="43" fontId="8" fillId="0" borderId="32" xfId="3" applyFont="1" applyFill="1" applyBorder="1" applyAlignment="1">
      <alignment horizontal="center" vertical="top"/>
    </xf>
    <xf numFmtId="43" fontId="8" fillId="0" borderId="31" xfId="2" applyFont="1" applyFill="1" applyBorder="1" applyAlignment="1">
      <alignment horizontal="right" vertical="top"/>
    </xf>
    <xf numFmtId="43" fontId="8" fillId="0" borderId="31" xfId="3" applyFont="1" applyFill="1" applyBorder="1" applyAlignment="1">
      <alignment horizontal="center" vertical="top"/>
    </xf>
    <xf numFmtId="43" fontId="8" fillId="0" borderId="26" xfId="3" applyFont="1" applyFill="1" applyBorder="1" applyAlignment="1">
      <alignment horizontal="center" vertical="top"/>
    </xf>
    <xf numFmtId="43" fontId="8" fillId="0" borderId="25" xfId="3" applyFont="1" applyFill="1" applyBorder="1" applyAlignment="1">
      <alignment horizontal="right" vertical="top"/>
    </xf>
    <xf numFmtId="43" fontId="16" fillId="0" borderId="32" xfId="2" applyFont="1" applyFill="1" applyBorder="1" applyAlignment="1">
      <alignment horizontal="center" vertical="top"/>
    </xf>
    <xf numFmtId="43" fontId="13" fillId="0" borderId="29" xfId="2" applyFont="1" applyFill="1" applyBorder="1" applyAlignment="1">
      <alignment horizontal="center" vertical="top"/>
    </xf>
    <xf numFmtId="43" fontId="8" fillId="0" borderId="32" xfId="3" applyFont="1" applyFill="1" applyBorder="1" applyAlignment="1">
      <alignment horizontal="right" vertical="top"/>
    </xf>
    <xf numFmtId="43" fontId="8" fillId="0" borderId="31" xfId="3" applyFont="1" applyFill="1" applyBorder="1" applyAlignment="1">
      <alignment horizontal="right" vertical="top"/>
    </xf>
    <xf numFmtId="0" fontId="8" fillId="0" borderId="23" xfId="163" applyFont="1" applyBorder="1" applyAlignment="1">
      <alignment horizontal="right"/>
    </xf>
    <xf numFmtId="0" fontId="8" fillId="0" borderId="0" xfId="163" applyFont="1" applyAlignment="1">
      <alignment horizontal="right"/>
    </xf>
    <xf numFmtId="0" fontId="8" fillId="0" borderId="0" xfId="163" applyFont="1" applyAlignment="1">
      <alignment horizontal="center"/>
    </xf>
    <xf numFmtId="0" fontId="8" fillId="0" borderId="0" xfId="163" applyFont="1" applyAlignment="1" applyProtection="1">
      <alignment horizontal="center"/>
      <protection locked="0"/>
    </xf>
    <xf numFmtId="0" fontId="8" fillId="0" borderId="0" xfId="163" applyFont="1" applyAlignment="1" applyProtection="1">
      <alignment horizontal="left"/>
      <protection locked="0"/>
    </xf>
    <xf numFmtId="0" fontId="46" fillId="40" borderId="6" xfId="163" applyFont="1" applyFill="1" applyBorder="1" applyAlignment="1">
      <alignment horizontal="center" vertical="center"/>
    </xf>
    <xf numFmtId="0" fontId="46" fillId="40" borderId="10" xfId="163" applyFont="1" applyFill="1" applyBorder="1" applyAlignment="1">
      <alignment horizontal="center" vertical="center"/>
    </xf>
    <xf numFmtId="0" fontId="46" fillId="40" borderId="13" xfId="163" applyFont="1" applyFill="1" applyBorder="1" applyAlignment="1">
      <alignment horizontal="center" vertical="center"/>
    </xf>
    <xf numFmtId="0" fontId="46" fillId="40" borderId="1" xfId="163" applyFont="1" applyFill="1" applyBorder="1" applyAlignment="1" applyProtection="1">
      <alignment horizontal="center" vertical="center"/>
      <protection locked="0"/>
    </xf>
    <xf numFmtId="0" fontId="46" fillId="40" borderId="8" xfId="163" applyFont="1" applyFill="1" applyBorder="1" applyAlignment="1" applyProtection="1">
      <alignment horizontal="center" vertical="center"/>
      <protection locked="0"/>
    </xf>
    <xf numFmtId="0" fontId="46" fillId="40" borderId="11" xfId="163" applyFont="1" applyFill="1" applyBorder="1" applyAlignment="1" applyProtection="1">
      <alignment horizontal="center" vertical="center"/>
      <protection locked="0"/>
    </xf>
    <xf numFmtId="0" fontId="46" fillId="40" borderId="3" xfId="163" applyFont="1" applyFill="1" applyBorder="1" applyAlignment="1" applyProtection="1">
      <alignment horizontal="center" vertical="center"/>
      <protection locked="0"/>
    </xf>
    <xf numFmtId="43" fontId="46" fillId="14" borderId="1" xfId="75" applyFont="1" applyFill="1" applyBorder="1" applyAlignment="1" applyProtection="1">
      <alignment horizontal="center" vertical="center"/>
      <protection hidden="1"/>
    </xf>
    <xf numFmtId="43" fontId="46" fillId="14" borderId="2" xfId="75" applyFont="1" applyFill="1" applyBorder="1" applyAlignment="1" applyProtection="1">
      <alignment horizontal="center" vertical="center"/>
      <protection hidden="1"/>
    </xf>
    <xf numFmtId="43" fontId="46" fillId="14" borderId="11" xfId="75" applyFont="1" applyFill="1" applyBorder="1" applyAlignment="1" applyProtection="1">
      <alignment horizontal="center" vertical="center"/>
      <protection hidden="1"/>
    </xf>
    <xf numFmtId="43" fontId="46" fillId="14" borderId="12" xfId="75" applyFont="1" applyFill="1" applyBorder="1" applyAlignment="1" applyProtection="1">
      <alignment horizontal="center" vertical="center"/>
      <protection hidden="1"/>
    </xf>
    <xf numFmtId="43" fontId="46" fillId="12" borderId="3" xfId="75" applyFont="1" applyFill="1" applyBorder="1" applyAlignment="1" applyProtection="1">
      <alignment horizontal="center" vertical="center"/>
      <protection hidden="1"/>
    </xf>
    <xf numFmtId="43" fontId="46" fillId="16" borderId="7" xfId="75" applyFont="1" applyFill="1" applyBorder="1" applyAlignment="1" applyProtection="1">
      <alignment horizontal="center"/>
      <protection hidden="1"/>
    </xf>
    <xf numFmtId="43" fontId="46" fillId="16" borderId="4" xfId="75" applyFont="1" applyFill="1" applyBorder="1" applyAlignment="1" applyProtection="1">
      <alignment horizontal="center"/>
      <protection hidden="1"/>
    </xf>
    <xf numFmtId="43" fontId="46" fillId="16" borderId="5" xfId="75" applyFont="1" applyFill="1" applyBorder="1" applyAlignment="1" applyProtection="1">
      <alignment horizontal="center"/>
      <protection hidden="1"/>
    </xf>
    <xf numFmtId="43" fontId="46" fillId="43" borderId="7" xfId="75" applyFont="1" applyFill="1" applyBorder="1" applyAlignment="1" applyProtection="1">
      <alignment horizontal="center"/>
      <protection hidden="1"/>
    </xf>
    <xf numFmtId="43" fontId="46" fillId="43" borderId="5" xfId="75" applyFont="1" applyFill="1" applyBorder="1" applyAlignment="1" applyProtection="1">
      <alignment horizontal="center"/>
      <protection hidden="1"/>
    </xf>
    <xf numFmtId="0" fontId="46" fillId="40" borderId="6" xfId="163" applyFont="1" applyFill="1" applyBorder="1" applyAlignment="1" applyProtection="1">
      <alignment horizontal="center" vertical="center"/>
      <protection locked="0"/>
    </xf>
    <xf numFmtId="0" fontId="46" fillId="40" borderId="13" xfId="163" applyFont="1" applyFill="1" applyBorder="1" applyAlignment="1" applyProtection="1">
      <alignment horizontal="center" vertical="center"/>
      <protection locked="0"/>
    </xf>
    <xf numFmtId="43" fontId="46" fillId="12" borderId="7" xfId="75" applyFont="1" applyFill="1" applyBorder="1" applyAlignment="1" applyProtection="1">
      <alignment horizontal="center" vertical="center"/>
      <protection hidden="1"/>
    </xf>
    <xf numFmtId="43" fontId="46" fillId="12" borderId="5" xfId="75" applyFont="1" applyFill="1" applyBorder="1" applyAlignment="1" applyProtection="1">
      <alignment horizontal="center" vertical="center"/>
      <protection hidden="1"/>
    </xf>
    <xf numFmtId="189" fontId="46" fillId="44" borderId="7" xfId="75" applyNumberFormat="1" applyFont="1" applyFill="1" applyBorder="1" applyAlignment="1" applyProtection="1">
      <alignment horizontal="center"/>
      <protection hidden="1"/>
    </xf>
    <xf numFmtId="189" fontId="46" fillId="44" borderId="5" xfId="75" applyNumberFormat="1" applyFont="1" applyFill="1" applyBorder="1" applyAlignment="1" applyProtection="1">
      <alignment horizontal="center"/>
      <protection hidden="1"/>
    </xf>
    <xf numFmtId="43" fontId="47" fillId="45" borderId="7" xfId="75" applyFont="1" applyFill="1" applyBorder="1" applyAlignment="1" applyProtection="1">
      <alignment horizontal="center" vertical="center"/>
      <protection hidden="1"/>
    </xf>
    <xf numFmtId="43" fontId="47" fillId="45" borderId="5" xfId="75" applyFont="1" applyFill="1" applyBorder="1" applyAlignment="1" applyProtection="1">
      <alignment horizontal="center" vertical="center"/>
      <protection hidden="1"/>
    </xf>
    <xf numFmtId="189" fontId="46" fillId="45" borderId="7" xfId="75" applyNumberFormat="1" applyFont="1" applyFill="1" applyBorder="1" applyAlignment="1" applyProtection="1">
      <alignment horizontal="center"/>
      <protection hidden="1"/>
    </xf>
    <xf numFmtId="189" fontId="46" fillId="45" borderId="5" xfId="75" applyNumberFormat="1" applyFont="1" applyFill="1" applyBorder="1" applyAlignment="1" applyProtection="1">
      <alignment horizontal="center"/>
      <protection hidden="1"/>
    </xf>
    <xf numFmtId="43" fontId="47" fillId="41" borderId="7" xfId="75" applyFont="1" applyFill="1" applyBorder="1" applyAlignment="1" applyProtection="1">
      <alignment horizontal="center" vertical="center"/>
      <protection hidden="1"/>
    </xf>
    <xf numFmtId="43" fontId="47" fillId="41" borderId="4" xfId="75" applyFont="1" applyFill="1" applyBorder="1" applyAlignment="1" applyProtection="1">
      <alignment horizontal="center" vertical="center"/>
      <protection hidden="1"/>
    </xf>
    <xf numFmtId="43" fontId="47" fillId="41" borderId="5" xfId="75" applyFont="1" applyFill="1" applyBorder="1" applyAlignment="1" applyProtection="1">
      <alignment horizontal="center" vertical="center"/>
      <protection hidden="1"/>
    </xf>
    <xf numFmtId="189" fontId="46" fillId="42" borderId="7" xfId="75" applyNumberFormat="1" applyFont="1" applyFill="1" applyBorder="1" applyAlignment="1" applyProtection="1">
      <alignment horizontal="center"/>
      <protection hidden="1"/>
    </xf>
    <xf numFmtId="189" fontId="46" fillId="42" borderId="4" xfId="75" applyNumberFormat="1" applyFont="1" applyFill="1" applyBorder="1" applyAlignment="1" applyProtection="1">
      <alignment horizontal="center"/>
      <protection hidden="1"/>
    </xf>
    <xf numFmtId="189" fontId="46" fillId="42" borderId="5" xfId="75" applyNumberFormat="1" applyFont="1" applyFill="1" applyBorder="1" applyAlignment="1" applyProtection="1">
      <alignment horizontal="center"/>
      <protection hidden="1"/>
    </xf>
    <xf numFmtId="43" fontId="47" fillId="44" borderId="7" xfId="75" applyFont="1" applyFill="1" applyBorder="1" applyAlignment="1" applyProtection="1">
      <alignment horizontal="center" vertical="center"/>
      <protection hidden="1"/>
    </xf>
    <xf numFmtId="43" fontId="47" fillId="44" borderId="5" xfId="75" applyFont="1" applyFill="1" applyBorder="1" applyAlignment="1" applyProtection="1">
      <alignment horizontal="center" vertical="center"/>
      <protection hidden="1"/>
    </xf>
    <xf numFmtId="188" fontId="6" fillId="5" borderId="7" xfId="1" applyNumberFormat="1" applyFont="1" applyFill="1" applyBorder="1" applyAlignment="1">
      <alignment horizontal="left" vertical="top" wrapText="1"/>
    </xf>
    <xf numFmtId="188" fontId="6" fillId="5" borderId="5" xfId="1" applyNumberFormat="1" applyFont="1" applyFill="1" applyBorder="1" applyAlignment="1">
      <alignment horizontal="left" vertical="top" wrapText="1"/>
    </xf>
    <xf numFmtId="190" fontId="9" fillId="5" borderId="16" xfId="1" applyNumberFormat="1" applyFont="1" applyFill="1" applyBorder="1" applyAlignment="1">
      <alignment horizontal="left" vertical="top"/>
    </xf>
    <xf numFmtId="190" fontId="9" fillId="5" borderId="17" xfId="1" applyNumberFormat="1" applyFont="1" applyFill="1" applyBorder="1" applyAlignment="1">
      <alignment horizontal="left" vertical="top"/>
    </xf>
    <xf numFmtId="188" fontId="9" fillId="4" borderId="8" xfId="1" applyNumberFormat="1" applyFont="1" applyFill="1" applyBorder="1" applyAlignment="1">
      <alignment horizontal="left" vertical="top" wrapText="1"/>
    </xf>
    <xf numFmtId="0" fontId="12" fillId="4" borderId="9" xfId="1" applyFont="1" applyFill="1" applyBorder="1" applyAlignment="1">
      <alignment horizontal="left" vertical="top"/>
    </xf>
    <xf numFmtId="188" fontId="6" fillId="3" borderId="7" xfId="1" applyNumberFormat="1" applyFont="1" applyFill="1" applyBorder="1" applyAlignment="1">
      <alignment horizontal="left" vertical="top" wrapText="1"/>
    </xf>
    <xf numFmtId="0" fontId="12" fillId="3" borderId="5" xfId="1" applyFont="1" applyFill="1" applyBorder="1" applyAlignment="1">
      <alignment vertical="top" wrapText="1"/>
    </xf>
    <xf numFmtId="188" fontId="6" fillId="3" borderId="5" xfId="1" applyNumberFormat="1" applyFont="1" applyFill="1" applyBorder="1" applyAlignment="1">
      <alignment horizontal="left" vertical="top" wrapText="1"/>
    </xf>
    <xf numFmtId="188" fontId="6" fillId="16" borderId="7" xfId="1" applyNumberFormat="1" applyFont="1" applyFill="1" applyBorder="1" applyAlignment="1">
      <alignment horizontal="left" vertical="top" wrapText="1"/>
    </xf>
    <xf numFmtId="188" fontId="6" fillId="16" borderId="5" xfId="1" applyNumberFormat="1" applyFont="1" applyFill="1" applyBorder="1" applyAlignment="1">
      <alignment horizontal="left" vertical="top" wrapText="1"/>
    </xf>
    <xf numFmtId="0" fontId="12" fillId="5" borderId="5" xfId="1" applyFont="1" applyFill="1" applyBorder="1" applyAlignment="1">
      <alignment vertical="top" wrapText="1"/>
    </xf>
    <xf numFmtId="188" fontId="6" fillId="17" borderId="7" xfId="1" applyNumberFormat="1" applyFont="1" applyFill="1" applyBorder="1" applyAlignment="1">
      <alignment horizontal="left" vertical="top" wrapText="1"/>
    </xf>
    <xf numFmtId="188" fontId="6" fillId="17" borderId="5" xfId="1" applyNumberFormat="1" applyFont="1" applyFill="1" applyBorder="1" applyAlignment="1">
      <alignment horizontal="left" vertical="top" wrapText="1"/>
    </xf>
    <xf numFmtId="188" fontId="9" fillId="14" borderId="7" xfId="1" applyNumberFormat="1" applyFont="1" applyFill="1" applyBorder="1" applyAlignment="1">
      <alignment horizontal="left" vertical="top" wrapText="1"/>
    </xf>
    <xf numFmtId="188" fontId="9" fillId="14" borderId="5" xfId="1" applyNumberFormat="1" applyFont="1" applyFill="1" applyBorder="1" applyAlignment="1">
      <alignment horizontal="left" vertical="top"/>
    </xf>
    <xf numFmtId="188" fontId="9" fillId="5" borderId="16" xfId="1" applyNumberFormat="1" applyFont="1" applyFill="1" applyBorder="1" applyAlignment="1">
      <alignment horizontal="left" vertical="top"/>
    </xf>
    <xf numFmtId="188" fontId="9" fillId="5" borderId="17" xfId="1" applyNumberFormat="1" applyFont="1" applyFill="1" applyBorder="1" applyAlignment="1">
      <alignment horizontal="left" vertical="top"/>
    </xf>
    <xf numFmtId="189" fontId="9" fillId="12" borderId="11" xfId="3" applyNumberFormat="1" applyFont="1" applyFill="1" applyBorder="1" applyAlignment="1">
      <alignment horizontal="left" vertical="top" wrapText="1"/>
    </xf>
    <xf numFmtId="189" fontId="9" fillId="12" borderId="12" xfId="3" applyNumberFormat="1" applyFont="1" applyFill="1" applyBorder="1" applyAlignment="1">
      <alignment horizontal="left" vertical="top" wrapText="1"/>
    </xf>
    <xf numFmtId="188" fontId="6" fillId="6" borderId="19" xfId="1" applyNumberFormat="1" applyFont="1" applyFill="1" applyBorder="1" applyAlignment="1">
      <alignment horizontal="left" vertical="top" wrapText="1"/>
    </xf>
    <xf numFmtId="188" fontId="6" fillId="6" borderId="20" xfId="1" applyNumberFormat="1" applyFont="1" applyFill="1" applyBorder="1" applyAlignment="1">
      <alignment horizontal="left" vertical="top" wrapText="1"/>
    </xf>
    <xf numFmtId="188" fontId="6" fillId="7" borderId="7" xfId="1" applyNumberFormat="1" applyFont="1" applyFill="1" applyBorder="1" applyAlignment="1">
      <alignment horizontal="left" vertical="top" wrapText="1"/>
    </xf>
    <xf numFmtId="188" fontId="6" fillId="7" borderId="5" xfId="1" applyNumberFormat="1" applyFont="1" applyFill="1" applyBorder="1" applyAlignment="1">
      <alignment horizontal="left" vertical="top" wrapText="1"/>
    </xf>
    <xf numFmtId="190" fontId="9" fillId="5" borderId="33" xfId="1" applyNumberFormat="1" applyFont="1" applyFill="1" applyBorder="1" applyAlignment="1">
      <alignment horizontal="left" vertical="top"/>
    </xf>
    <xf numFmtId="190" fontId="9" fillId="5" borderId="34" xfId="1" applyNumberFormat="1" applyFont="1" applyFill="1" applyBorder="1" applyAlignment="1">
      <alignment horizontal="left" vertical="top"/>
    </xf>
    <xf numFmtId="189" fontId="6" fillId="5" borderId="3" xfId="2" applyNumberFormat="1" applyFont="1" applyFill="1" applyBorder="1" applyAlignment="1">
      <alignment horizontal="center" vertical="top"/>
    </xf>
    <xf numFmtId="189" fontId="6" fillId="6" borderId="3" xfId="2" applyNumberFormat="1" applyFont="1" applyFill="1" applyBorder="1" applyAlignment="1">
      <alignment horizontal="center" vertical="top"/>
    </xf>
    <xf numFmtId="189" fontId="6" fillId="3" borderId="3" xfId="2" applyNumberFormat="1" applyFont="1" applyFill="1" applyBorder="1" applyAlignment="1">
      <alignment horizontal="center" vertical="center" wrapText="1"/>
    </xf>
    <xf numFmtId="188" fontId="6" fillId="5" borderId="3" xfId="1" applyNumberFormat="1" applyFont="1" applyFill="1" applyBorder="1" applyAlignment="1">
      <alignment horizontal="center" vertical="top"/>
    </xf>
    <xf numFmtId="0" fontId="6" fillId="0" borderId="0" xfId="1" applyFont="1" applyAlignment="1">
      <alignment horizontal="center"/>
    </xf>
    <xf numFmtId="188" fontId="6" fillId="0" borderId="1" xfId="1" applyNumberFormat="1" applyFont="1" applyBorder="1" applyAlignment="1">
      <alignment horizontal="center" vertical="top"/>
    </xf>
    <xf numFmtId="188" fontId="6" fillId="0" borderId="2" xfId="1" applyNumberFormat="1" applyFont="1" applyBorder="1" applyAlignment="1">
      <alignment horizontal="center" vertical="top"/>
    </xf>
    <xf numFmtId="188" fontId="6" fillId="0" borderId="8" xfId="1" applyNumberFormat="1" applyFont="1" applyBorder="1" applyAlignment="1">
      <alignment horizontal="center" vertical="top"/>
    </xf>
    <xf numFmtId="188" fontId="6" fillId="0" borderId="9" xfId="1" applyNumberFormat="1" applyFont="1" applyBorder="1" applyAlignment="1">
      <alignment horizontal="center" vertical="top"/>
    </xf>
    <xf numFmtId="188" fontId="6" fillId="0" borderId="11" xfId="1" applyNumberFormat="1" applyFont="1" applyBorder="1" applyAlignment="1">
      <alignment horizontal="center" vertical="top"/>
    </xf>
    <xf numFmtId="188" fontId="6" fillId="0" borderId="12" xfId="1" applyNumberFormat="1" applyFont="1" applyBorder="1" applyAlignment="1">
      <alignment horizontal="center" vertical="top"/>
    </xf>
    <xf numFmtId="188" fontId="6" fillId="0" borderId="1" xfId="1" applyNumberFormat="1" applyFont="1" applyBorder="1" applyAlignment="1">
      <alignment horizontal="center" vertical="center" wrapText="1"/>
    </xf>
    <xf numFmtId="188" fontId="6" fillId="0" borderId="8" xfId="1" applyNumberFormat="1" applyFont="1" applyBorder="1" applyAlignment="1">
      <alignment horizontal="center" vertical="center"/>
    </xf>
    <xf numFmtId="189" fontId="6" fillId="3" borderId="3" xfId="2" applyNumberFormat="1" applyFont="1" applyFill="1" applyBorder="1" applyAlignment="1">
      <alignment horizontal="center" vertical="center"/>
    </xf>
    <xf numFmtId="189" fontId="6" fillId="5" borderId="7" xfId="2" applyNumberFormat="1" applyFont="1" applyFill="1" applyBorder="1" applyAlignment="1">
      <alignment horizontal="center"/>
    </xf>
    <xf numFmtId="189" fontId="6" fillId="5" borderId="4" xfId="2" applyNumberFormat="1" applyFont="1" applyFill="1" applyBorder="1" applyAlignment="1">
      <alignment horizontal="center"/>
    </xf>
    <xf numFmtId="189" fontId="6" fillId="5" borderId="5" xfId="2" applyNumberFormat="1" applyFont="1" applyFill="1" applyBorder="1" applyAlignment="1">
      <alignment horizontal="center"/>
    </xf>
    <xf numFmtId="189" fontId="6" fillId="6" borderId="7" xfId="2" applyNumberFormat="1" applyFont="1" applyFill="1" applyBorder="1" applyAlignment="1">
      <alignment horizontal="center"/>
    </xf>
    <xf numFmtId="189" fontId="6" fillId="6" borderId="4" xfId="2" applyNumberFormat="1" applyFont="1" applyFill="1" applyBorder="1" applyAlignment="1">
      <alignment horizontal="center"/>
    </xf>
    <xf numFmtId="189" fontId="6" fillId="6" borderId="5" xfId="2" applyNumberFormat="1" applyFont="1" applyFill="1" applyBorder="1" applyAlignment="1">
      <alignment horizontal="center"/>
    </xf>
    <xf numFmtId="189" fontId="6" fillId="7" borderId="7" xfId="2" applyNumberFormat="1" applyFont="1" applyFill="1" applyBorder="1" applyAlignment="1">
      <alignment horizontal="center"/>
    </xf>
    <xf numFmtId="189" fontId="6" fillId="7" borderId="4" xfId="2" applyNumberFormat="1" applyFont="1" applyFill="1" applyBorder="1" applyAlignment="1">
      <alignment horizontal="center"/>
    </xf>
    <xf numFmtId="189" fontId="6" fillId="8" borderId="7" xfId="2" applyNumberFormat="1" applyFont="1" applyFill="1" applyBorder="1" applyAlignment="1">
      <alignment horizontal="center" wrapText="1"/>
    </xf>
    <xf numFmtId="189" fontId="6" fillId="8" borderId="4" xfId="2" applyNumberFormat="1" applyFont="1" applyFill="1" applyBorder="1" applyAlignment="1">
      <alignment horizontal="center" wrapText="1"/>
    </xf>
    <xf numFmtId="189" fontId="6" fillId="8" borderId="5" xfId="2" applyNumberFormat="1" applyFont="1" applyFill="1" applyBorder="1" applyAlignment="1">
      <alignment horizontal="center" wrapText="1"/>
    </xf>
    <xf numFmtId="189" fontId="6" fillId="7" borderId="3" xfId="2" applyNumberFormat="1" applyFont="1" applyFill="1" applyBorder="1" applyAlignment="1">
      <alignment horizontal="center" vertical="top"/>
    </xf>
    <xf numFmtId="189" fontId="6" fillId="8" borderId="3" xfId="2" applyNumberFormat="1" applyFont="1" applyFill="1" applyBorder="1" applyAlignment="1">
      <alignment horizontal="center" vertical="top"/>
    </xf>
    <xf numFmtId="0" fontId="8" fillId="0" borderId="0" xfId="176" applyFont="1" applyAlignment="1">
      <alignment horizontal="center" vertical="center"/>
    </xf>
    <xf numFmtId="0" fontId="8" fillId="0" borderId="0" xfId="176" applyFont="1" applyAlignment="1">
      <alignment horizontal="center"/>
    </xf>
    <xf numFmtId="0" fontId="8" fillId="0" borderId="0" xfId="448" applyFont="1" applyAlignment="1">
      <alignment horizontal="left" vertical="center"/>
    </xf>
    <xf numFmtId="0" fontId="8" fillId="0" borderId="23" xfId="448" applyFont="1" applyBorder="1" applyAlignment="1">
      <alignment horizontal="left" vertical="center"/>
    </xf>
    <xf numFmtId="43" fontId="8" fillId="0" borderId="6" xfId="443" applyFont="1" applyBorder="1" applyAlignment="1">
      <alignment horizontal="center" vertical="center" wrapText="1"/>
    </xf>
    <xf numFmtId="43" fontId="8" fillId="0" borderId="13" xfId="443" applyFont="1" applyBorder="1" applyAlignment="1">
      <alignment horizontal="center" vertical="center" wrapText="1"/>
    </xf>
    <xf numFmtId="43" fontId="8" fillId="0" borderId="11" xfId="443" applyFont="1" applyBorder="1" applyAlignment="1">
      <alignment horizontal="center" vertical="center" wrapText="1"/>
    </xf>
    <xf numFmtId="43" fontId="8" fillId="0" borderId="3" xfId="443" applyFont="1" applyBorder="1" applyAlignment="1">
      <alignment horizontal="center" vertical="center"/>
    </xf>
    <xf numFmtId="0" fontId="8" fillId="0" borderId="6" xfId="443" applyNumberFormat="1" applyFont="1" applyBorder="1" applyAlignment="1">
      <alignment horizontal="center" vertical="center"/>
    </xf>
    <xf numFmtId="0" fontId="8" fillId="0" borderId="13" xfId="443" applyNumberFormat="1" applyFont="1" applyBorder="1" applyAlignment="1">
      <alignment horizontal="center" vertical="center"/>
    </xf>
  </cellXfs>
  <cellStyles count="450">
    <cellStyle name="20% - Accent1" xfId="5" xr:uid="{00000000-0005-0000-0000-000000000000}"/>
    <cellStyle name="20% - Accent1 2" xfId="6" xr:uid="{00000000-0005-0000-0000-000001000000}"/>
    <cellStyle name="20% - Accent2" xfId="7" xr:uid="{00000000-0005-0000-0000-000002000000}"/>
    <cellStyle name="20% - Accent2 2" xfId="8" xr:uid="{00000000-0005-0000-0000-000003000000}"/>
    <cellStyle name="20% - Accent3" xfId="9" xr:uid="{00000000-0005-0000-0000-000004000000}"/>
    <cellStyle name="20% - Accent3 2" xfId="10" xr:uid="{00000000-0005-0000-0000-000005000000}"/>
    <cellStyle name="20% - Accent4" xfId="11" xr:uid="{00000000-0005-0000-0000-000006000000}"/>
    <cellStyle name="20% - Accent4 2" xfId="12" xr:uid="{00000000-0005-0000-0000-000007000000}"/>
    <cellStyle name="20% - Accent5" xfId="13" xr:uid="{00000000-0005-0000-0000-000008000000}"/>
    <cellStyle name="20% - Accent5 2" xfId="14" xr:uid="{00000000-0005-0000-0000-000009000000}"/>
    <cellStyle name="20% - Accent6" xfId="15" xr:uid="{00000000-0005-0000-0000-00000A000000}"/>
    <cellStyle name="20% - Accent6 2" xfId="16" xr:uid="{00000000-0005-0000-0000-00000B000000}"/>
    <cellStyle name="40% - Accent1" xfId="17" xr:uid="{00000000-0005-0000-0000-00000C000000}"/>
    <cellStyle name="40% - Accent1 2" xfId="18" xr:uid="{00000000-0005-0000-0000-00000D000000}"/>
    <cellStyle name="40% - Accent2" xfId="19" xr:uid="{00000000-0005-0000-0000-00000E000000}"/>
    <cellStyle name="40% - Accent2 2" xfId="20" xr:uid="{00000000-0005-0000-0000-00000F000000}"/>
    <cellStyle name="40% - Accent3" xfId="21" xr:uid="{00000000-0005-0000-0000-000010000000}"/>
    <cellStyle name="40% - Accent3 2" xfId="22" xr:uid="{00000000-0005-0000-0000-000011000000}"/>
    <cellStyle name="40% - Accent4" xfId="23" xr:uid="{00000000-0005-0000-0000-000012000000}"/>
    <cellStyle name="40% - Accent4 2" xfId="24" xr:uid="{00000000-0005-0000-0000-000013000000}"/>
    <cellStyle name="40% - Accent5" xfId="25" xr:uid="{00000000-0005-0000-0000-000014000000}"/>
    <cellStyle name="40% - Accent5 2" xfId="26" xr:uid="{00000000-0005-0000-0000-000015000000}"/>
    <cellStyle name="40% - Accent6" xfId="27" xr:uid="{00000000-0005-0000-0000-000016000000}"/>
    <cellStyle name="40% - Accent6 2" xfId="28" xr:uid="{00000000-0005-0000-0000-000017000000}"/>
    <cellStyle name="60% - Accent1" xfId="29" xr:uid="{00000000-0005-0000-0000-000018000000}"/>
    <cellStyle name="60% - Accent1 2" xfId="30" xr:uid="{00000000-0005-0000-0000-000019000000}"/>
    <cellStyle name="60% - Accent2" xfId="31" xr:uid="{00000000-0005-0000-0000-00001A000000}"/>
    <cellStyle name="60% - Accent2 2" xfId="32" xr:uid="{00000000-0005-0000-0000-00001B000000}"/>
    <cellStyle name="60% - Accent3" xfId="33" xr:uid="{00000000-0005-0000-0000-00001C000000}"/>
    <cellStyle name="60% - Accent3 2" xfId="34" xr:uid="{00000000-0005-0000-0000-00001D000000}"/>
    <cellStyle name="60% - Accent4" xfId="35" xr:uid="{00000000-0005-0000-0000-00001E000000}"/>
    <cellStyle name="60% - Accent4 2" xfId="36" xr:uid="{00000000-0005-0000-0000-00001F000000}"/>
    <cellStyle name="60% - Accent5" xfId="37" xr:uid="{00000000-0005-0000-0000-000020000000}"/>
    <cellStyle name="60% - Accent5 2" xfId="38" xr:uid="{00000000-0005-0000-0000-000021000000}"/>
    <cellStyle name="60% - Accent6" xfId="39" xr:uid="{00000000-0005-0000-0000-000022000000}"/>
    <cellStyle name="60% - Accent6 2" xfId="40" xr:uid="{00000000-0005-0000-0000-000023000000}"/>
    <cellStyle name="75" xfId="41" xr:uid="{00000000-0005-0000-0000-000024000000}"/>
    <cellStyle name="Accent1" xfId="42" xr:uid="{00000000-0005-0000-0000-000025000000}"/>
    <cellStyle name="Accent1 2" xfId="43" xr:uid="{00000000-0005-0000-0000-000026000000}"/>
    <cellStyle name="Accent2" xfId="44" xr:uid="{00000000-0005-0000-0000-000027000000}"/>
    <cellStyle name="Accent2 2" xfId="45" xr:uid="{00000000-0005-0000-0000-000028000000}"/>
    <cellStyle name="Accent3" xfId="46" xr:uid="{00000000-0005-0000-0000-000029000000}"/>
    <cellStyle name="Accent3 2" xfId="47" xr:uid="{00000000-0005-0000-0000-00002A000000}"/>
    <cellStyle name="Accent4" xfId="48" xr:uid="{00000000-0005-0000-0000-00002B000000}"/>
    <cellStyle name="Accent4 2" xfId="49" xr:uid="{00000000-0005-0000-0000-00002C000000}"/>
    <cellStyle name="Accent5" xfId="50" xr:uid="{00000000-0005-0000-0000-00002D000000}"/>
    <cellStyle name="Accent5 2" xfId="51" xr:uid="{00000000-0005-0000-0000-00002E000000}"/>
    <cellStyle name="Accent6" xfId="52" xr:uid="{00000000-0005-0000-0000-00002F000000}"/>
    <cellStyle name="Accent6 2" xfId="53" xr:uid="{00000000-0005-0000-0000-000030000000}"/>
    <cellStyle name="Bad" xfId="54" xr:uid="{00000000-0005-0000-0000-000031000000}"/>
    <cellStyle name="Bad 2" xfId="55" xr:uid="{00000000-0005-0000-0000-000032000000}"/>
    <cellStyle name="Calculation" xfId="56" xr:uid="{00000000-0005-0000-0000-000033000000}"/>
    <cellStyle name="Calculation 2" xfId="57" xr:uid="{00000000-0005-0000-0000-000034000000}"/>
    <cellStyle name="Calculation 2 10" xfId="58" xr:uid="{00000000-0005-0000-0000-000035000000}"/>
    <cellStyle name="Calculation 2 11" xfId="59" xr:uid="{00000000-0005-0000-0000-000036000000}"/>
    <cellStyle name="Calculation 2 12" xfId="60" xr:uid="{00000000-0005-0000-0000-000037000000}"/>
    <cellStyle name="Calculation 2 13" xfId="61" xr:uid="{00000000-0005-0000-0000-000038000000}"/>
    <cellStyle name="Calculation 2 14" xfId="62" xr:uid="{00000000-0005-0000-0000-000039000000}"/>
    <cellStyle name="Calculation 2 15" xfId="63" xr:uid="{00000000-0005-0000-0000-00003A000000}"/>
    <cellStyle name="Calculation 2 2" xfId="64" xr:uid="{00000000-0005-0000-0000-00003B000000}"/>
    <cellStyle name="Calculation 2 3" xfId="65" xr:uid="{00000000-0005-0000-0000-00003C000000}"/>
    <cellStyle name="Calculation 2 4" xfId="66" xr:uid="{00000000-0005-0000-0000-00003D000000}"/>
    <cellStyle name="Calculation 2 5" xfId="67" xr:uid="{00000000-0005-0000-0000-00003E000000}"/>
    <cellStyle name="Calculation 2 6" xfId="68" xr:uid="{00000000-0005-0000-0000-00003F000000}"/>
    <cellStyle name="Calculation 2 7" xfId="69" xr:uid="{00000000-0005-0000-0000-000040000000}"/>
    <cellStyle name="Calculation 2 8" xfId="70" xr:uid="{00000000-0005-0000-0000-000041000000}"/>
    <cellStyle name="Calculation 2 9" xfId="71" xr:uid="{00000000-0005-0000-0000-000042000000}"/>
    <cellStyle name="Check Cell" xfId="72" xr:uid="{00000000-0005-0000-0000-000043000000}"/>
    <cellStyle name="Check Cell 2" xfId="73" xr:uid="{00000000-0005-0000-0000-000044000000}"/>
    <cellStyle name="Comma 10" xfId="74" xr:uid="{00000000-0005-0000-0000-000045000000}"/>
    <cellStyle name="Comma 10 2" xfId="449" xr:uid="{9964CE44-5F0F-42FF-ACA7-E44517AEFA33}"/>
    <cellStyle name="Comma 11" xfId="441" xr:uid="{00000000-0005-0000-0000-000046000000}"/>
    <cellStyle name="Comma 11 2" xfId="442" xr:uid="{00000000-0005-0000-0000-000047000000}"/>
    <cellStyle name="Comma 12" xfId="443" xr:uid="{00000000-0005-0000-0000-000048000000}"/>
    <cellStyle name="Comma 2" xfId="75" xr:uid="{00000000-0005-0000-0000-000049000000}"/>
    <cellStyle name="Comma 2 2" xfId="76" xr:uid="{00000000-0005-0000-0000-00004A000000}"/>
    <cellStyle name="Comma 2 2 2" xfId="2" xr:uid="{00000000-0005-0000-0000-00004B000000}"/>
    <cellStyle name="Comma 2 2 3" xfId="77" xr:uid="{00000000-0005-0000-0000-00004C000000}"/>
    <cellStyle name="Comma 2 2 4" xfId="78" xr:uid="{00000000-0005-0000-0000-00004D000000}"/>
    <cellStyle name="Comma 2 2 5" xfId="79" xr:uid="{00000000-0005-0000-0000-00004E000000}"/>
    <cellStyle name="Comma 2 2 6" xfId="80" xr:uid="{00000000-0005-0000-0000-00004F000000}"/>
    <cellStyle name="Comma 2 3" xfId="81" xr:uid="{00000000-0005-0000-0000-000050000000}"/>
    <cellStyle name="Comma 2 4" xfId="82" xr:uid="{00000000-0005-0000-0000-000051000000}"/>
    <cellStyle name="Comma 2 4 2" xfId="444" xr:uid="{00000000-0005-0000-0000-000052000000}"/>
    <cellStyle name="Comma 2 5" xfId="83" xr:uid="{00000000-0005-0000-0000-000053000000}"/>
    <cellStyle name="Comma 2 6" xfId="84" xr:uid="{00000000-0005-0000-0000-000054000000}"/>
    <cellStyle name="Comma 2 7" xfId="85" xr:uid="{00000000-0005-0000-0000-000055000000}"/>
    <cellStyle name="Comma 2 8" xfId="86" xr:uid="{00000000-0005-0000-0000-000056000000}"/>
    <cellStyle name="Comma 3" xfId="87" xr:uid="{00000000-0005-0000-0000-000057000000}"/>
    <cellStyle name="Comma 3 2" xfId="88" xr:uid="{00000000-0005-0000-0000-000058000000}"/>
    <cellStyle name="Comma 3 2 2" xfId="89" xr:uid="{00000000-0005-0000-0000-000059000000}"/>
    <cellStyle name="Comma 3 2 3" xfId="90" xr:uid="{00000000-0005-0000-0000-00005A000000}"/>
    <cellStyle name="Comma 3 2 4" xfId="91" xr:uid="{00000000-0005-0000-0000-00005B000000}"/>
    <cellStyle name="Comma 3 2 5" xfId="92" xr:uid="{00000000-0005-0000-0000-00005C000000}"/>
    <cellStyle name="Comma 3 2 6" xfId="93" xr:uid="{00000000-0005-0000-0000-00005D000000}"/>
    <cellStyle name="Comma 3 3" xfId="94" xr:uid="{00000000-0005-0000-0000-00005E000000}"/>
    <cellStyle name="Comma 3 3 2" xfId="95" xr:uid="{00000000-0005-0000-0000-00005F000000}"/>
    <cellStyle name="Comma 3 3 3" xfId="96" xr:uid="{00000000-0005-0000-0000-000060000000}"/>
    <cellStyle name="Comma 3 3 4" xfId="97" xr:uid="{00000000-0005-0000-0000-000061000000}"/>
    <cellStyle name="Comma 3 3 5" xfId="98" xr:uid="{00000000-0005-0000-0000-000062000000}"/>
    <cellStyle name="Comma 3 3 6" xfId="99" xr:uid="{00000000-0005-0000-0000-000063000000}"/>
    <cellStyle name="Comma 3 4" xfId="100" xr:uid="{00000000-0005-0000-0000-000064000000}"/>
    <cellStyle name="Comma 3 4 2" xfId="101" xr:uid="{00000000-0005-0000-0000-000065000000}"/>
    <cellStyle name="Comma 3 4 3" xfId="102" xr:uid="{00000000-0005-0000-0000-000066000000}"/>
    <cellStyle name="Comma 3 4 4" xfId="103" xr:uid="{00000000-0005-0000-0000-000067000000}"/>
    <cellStyle name="Comma 3 4 5" xfId="104" xr:uid="{00000000-0005-0000-0000-000068000000}"/>
    <cellStyle name="Comma 3 4 6" xfId="105" xr:uid="{00000000-0005-0000-0000-000069000000}"/>
    <cellStyle name="Comma 3 5" xfId="106" xr:uid="{00000000-0005-0000-0000-00006A000000}"/>
    <cellStyle name="Comma 4" xfId="107" xr:uid="{00000000-0005-0000-0000-00006B000000}"/>
    <cellStyle name="Comma 5" xfId="108" xr:uid="{00000000-0005-0000-0000-00006C000000}"/>
    <cellStyle name="Comma 5 2" xfId="445" xr:uid="{00000000-0005-0000-0000-00006D000000}"/>
    <cellStyle name="Comma 6" xfId="109" xr:uid="{00000000-0005-0000-0000-00006E000000}"/>
    <cellStyle name="Comma 6 2" xfId="110" xr:uid="{00000000-0005-0000-0000-00006F000000}"/>
    <cellStyle name="Comma 6 2 2" xfId="111" xr:uid="{00000000-0005-0000-0000-000070000000}"/>
    <cellStyle name="Comma 6 3" xfId="112" xr:uid="{00000000-0005-0000-0000-000071000000}"/>
    <cellStyle name="Comma 7" xfId="113" xr:uid="{00000000-0005-0000-0000-000072000000}"/>
    <cellStyle name="Comma 8" xfId="114" xr:uid="{00000000-0005-0000-0000-000073000000}"/>
    <cellStyle name="Comma 9" xfId="115" xr:uid="{00000000-0005-0000-0000-000074000000}"/>
    <cellStyle name="Explanatory Text" xfId="116" xr:uid="{00000000-0005-0000-0000-000075000000}"/>
    <cellStyle name="Explanatory Text 2" xfId="117" xr:uid="{00000000-0005-0000-0000-000076000000}"/>
    <cellStyle name="Good" xfId="118" xr:uid="{00000000-0005-0000-0000-000077000000}"/>
    <cellStyle name="Good 2" xfId="119" xr:uid="{00000000-0005-0000-0000-000078000000}"/>
    <cellStyle name="Header1" xfId="120" xr:uid="{00000000-0005-0000-0000-000079000000}"/>
    <cellStyle name="Header2" xfId="121" xr:uid="{00000000-0005-0000-0000-00007A000000}"/>
    <cellStyle name="Header2 10" xfId="122" xr:uid="{00000000-0005-0000-0000-00007B000000}"/>
    <cellStyle name="Header2 2" xfId="123" xr:uid="{00000000-0005-0000-0000-00007C000000}"/>
    <cellStyle name="Header2 3" xfId="124" xr:uid="{00000000-0005-0000-0000-00007D000000}"/>
    <cellStyle name="Header2 4" xfId="125" xr:uid="{00000000-0005-0000-0000-00007E000000}"/>
    <cellStyle name="Header2 5" xfId="126" xr:uid="{00000000-0005-0000-0000-00007F000000}"/>
    <cellStyle name="Header2 6" xfId="127" xr:uid="{00000000-0005-0000-0000-000080000000}"/>
    <cellStyle name="Header2 7" xfId="128" xr:uid="{00000000-0005-0000-0000-000081000000}"/>
    <cellStyle name="Header2 8" xfId="129" xr:uid="{00000000-0005-0000-0000-000082000000}"/>
    <cellStyle name="Header2 9" xfId="130" xr:uid="{00000000-0005-0000-0000-000083000000}"/>
    <cellStyle name="Heading 1" xfId="131" xr:uid="{00000000-0005-0000-0000-000084000000}"/>
    <cellStyle name="Heading 1 2" xfId="132" xr:uid="{00000000-0005-0000-0000-000085000000}"/>
    <cellStyle name="Heading 2" xfId="133" xr:uid="{00000000-0005-0000-0000-000086000000}"/>
    <cellStyle name="Heading 2 2" xfId="134" xr:uid="{00000000-0005-0000-0000-000087000000}"/>
    <cellStyle name="Heading 3" xfId="135" xr:uid="{00000000-0005-0000-0000-000088000000}"/>
    <cellStyle name="Heading 3 2" xfId="136" xr:uid="{00000000-0005-0000-0000-000089000000}"/>
    <cellStyle name="Heading 4" xfId="137" xr:uid="{00000000-0005-0000-0000-00008A000000}"/>
    <cellStyle name="Heading 4 2" xfId="138" xr:uid="{00000000-0005-0000-0000-00008B000000}"/>
    <cellStyle name="Hyperlink 2" xfId="139" xr:uid="{00000000-0005-0000-0000-00008C000000}"/>
    <cellStyle name="Input" xfId="140" xr:uid="{00000000-0005-0000-0000-00008D000000}"/>
    <cellStyle name="Input 2" xfId="141" xr:uid="{00000000-0005-0000-0000-00008E000000}"/>
    <cellStyle name="Input 2 10" xfId="142" xr:uid="{00000000-0005-0000-0000-00008F000000}"/>
    <cellStyle name="Input 2 11" xfId="143" xr:uid="{00000000-0005-0000-0000-000090000000}"/>
    <cellStyle name="Input 2 12" xfId="144" xr:uid="{00000000-0005-0000-0000-000091000000}"/>
    <cellStyle name="Input 2 13" xfId="145" xr:uid="{00000000-0005-0000-0000-000092000000}"/>
    <cellStyle name="Input 2 14" xfId="146" xr:uid="{00000000-0005-0000-0000-000093000000}"/>
    <cellStyle name="Input 2 15" xfId="147" xr:uid="{00000000-0005-0000-0000-000094000000}"/>
    <cellStyle name="Input 2 2" xfId="148" xr:uid="{00000000-0005-0000-0000-000095000000}"/>
    <cellStyle name="Input 2 3" xfId="149" xr:uid="{00000000-0005-0000-0000-000096000000}"/>
    <cellStyle name="Input 2 4" xfId="150" xr:uid="{00000000-0005-0000-0000-000097000000}"/>
    <cellStyle name="Input 2 5" xfId="151" xr:uid="{00000000-0005-0000-0000-000098000000}"/>
    <cellStyle name="Input 2 6" xfId="152" xr:uid="{00000000-0005-0000-0000-000099000000}"/>
    <cellStyle name="Input 2 7" xfId="153" xr:uid="{00000000-0005-0000-0000-00009A000000}"/>
    <cellStyle name="Input 2 8" xfId="154" xr:uid="{00000000-0005-0000-0000-00009B000000}"/>
    <cellStyle name="Input 2 9" xfId="155" xr:uid="{00000000-0005-0000-0000-00009C000000}"/>
    <cellStyle name="Linked Cell" xfId="156" xr:uid="{00000000-0005-0000-0000-00009D000000}"/>
    <cellStyle name="Linked Cell 2" xfId="157" xr:uid="{00000000-0005-0000-0000-00009E000000}"/>
    <cellStyle name="Neutral" xfId="158" xr:uid="{00000000-0005-0000-0000-00009F000000}"/>
    <cellStyle name="Neutral 2" xfId="159" xr:uid="{00000000-0005-0000-0000-0000A0000000}"/>
    <cellStyle name="Normal 10" xfId="160" xr:uid="{00000000-0005-0000-0000-0000A2000000}"/>
    <cellStyle name="Normal 11" xfId="161" xr:uid="{00000000-0005-0000-0000-0000A3000000}"/>
    <cellStyle name="Normal 12" xfId="162" xr:uid="{00000000-0005-0000-0000-0000A4000000}"/>
    <cellStyle name="Normal 2" xfId="163" xr:uid="{00000000-0005-0000-0000-0000A5000000}"/>
    <cellStyle name="Normal 2 2" xfId="164" xr:uid="{00000000-0005-0000-0000-0000A6000000}"/>
    <cellStyle name="Normal 2 2 2" xfId="1" xr:uid="{00000000-0005-0000-0000-0000A7000000}"/>
    <cellStyle name="Normal 2 2 2 2" xfId="165" xr:uid="{00000000-0005-0000-0000-0000A8000000}"/>
    <cellStyle name="Normal 2 2 3" xfId="166" xr:uid="{00000000-0005-0000-0000-0000A9000000}"/>
    <cellStyle name="Normal 2 2 4" xfId="167" xr:uid="{00000000-0005-0000-0000-0000AA000000}"/>
    <cellStyle name="Normal 2 2 5" xfId="168" xr:uid="{00000000-0005-0000-0000-0000AB000000}"/>
    <cellStyle name="Normal 2 2 6" xfId="169" xr:uid="{00000000-0005-0000-0000-0000AC000000}"/>
    <cellStyle name="Normal 2 3" xfId="170" xr:uid="{00000000-0005-0000-0000-0000AD000000}"/>
    <cellStyle name="Normal 2 3 2" xfId="171" xr:uid="{00000000-0005-0000-0000-0000AE000000}"/>
    <cellStyle name="Normal 2 4" xfId="172" xr:uid="{00000000-0005-0000-0000-0000AF000000}"/>
    <cellStyle name="Normal 2 5" xfId="173" xr:uid="{00000000-0005-0000-0000-0000B0000000}"/>
    <cellStyle name="Normal 2 6" xfId="174" xr:uid="{00000000-0005-0000-0000-0000B1000000}"/>
    <cellStyle name="Normal 2 7" xfId="175" xr:uid="{00000000-0005-0000-0000-0000B2000000}"/>
    <cellStyle name="Normal 3" xfId="176" xr:uid="{00000000-0005-0000-0000-0000B3000000}"/>
    <cellStyle name="Normal 3 2" xfId="177" xr:uid="{00000000-0005-0000-0000-0000B4000000}"/>
    <cellStyle name="Normal 3 2 2" xfId="178" xr:uid="{00000000-0005-0000-0000-0000B5000000}"/>
    <cellStyle name="Normal 3 3" xfId="179" xr:uid="{00000000-0005-0000-0000-0000B6000000}"/>
    <cellStyle name="Normal 3 4" xfId="180" xr:uid="{00000000-0005-0000-0000-0000B7000000}"/>
    <cellStyle name="Normal 3 5" xfId="181" xr:uid="{00000000-0005-0000-0000-0000B8000000}"/>
    <cellStyle name="Normal 3 6" xfId="182" xr:uid="{00000000-0005-0000-0000-0000B9000000}"/>
    <cellStyle name="Normal 3 7" xfId="183" xr:uid="{00000000-0005-0000-0000-0000BA000000}"/>
    <cellStyle name="Normal 4" xfId="184" xr:uid="{00000000-0005-0000-0000-0000BB000000}"/>
    <cellStyle name="Normal 5" xfId="185" xr:uid="{00000000-0005-0000-0000-0000BC000000}"/>
    <cellStyle name="Normal 5 2" xfId="446" xr:uid="{00000000-0005-0000-0000-0000BD000000}"/>
    <cellStyle name="Normal 6" xfId="186" xr:uid="{00000000-0005-0000-0000-0000BE000000}"/>
    <cellStyle name="Normal 6 2" xfId="187" xr:uid="{00000000-0005-0000-0000-0000BF000000}"/>
    <cellStyle name="Normal 6 3" xfId="188" xr:uid="{00000000-0005-0000-0000-0000C0000000}"/>
    <cellStyle name="Normal 7" xfId="189" xr:uid="{00000000-0005-0000-0000-0000C1000000}"/>
    <cellStyle name="Normal 8" xfId="190" xr:uid="{00000000-0005-0000-0000-0000C2000000}"/>
    <cellStyle name="Normal 9" xfId="191" xr:uid="{00000000-0005-0000-0000-0000C3000000}"/>
    <cellStyle name="Normal 9 2" xfId="192" xr:uid="{00000000-0005-0000-0000-0000C4000000}"/>
    <cellStyle name="Note" xfId="193" xr:uid="{00000000-0005-0000-0000-0000C5000000}"/>
    <cellStyle name="Note 2" xfId="194" xr:uid="{00000000-0005-0000-0000-0000C6000000}"/>
    <cellStyle name="Note 2 10" xfId="195" xr:uid="{00000000-0005-0000-0000-0000C7000000}"/>
    <cellStyle name="Note 2 11" xfId="196" xr:uid="{00000000-0005-0000-0000-0000C8000000}"/>
    <cellStyle name="Note 2 12" xfId="197" xr:uid="{00000000-0005-0000-0000-0000C9000000}"/>
    <cellStyle name="Note 2 13" xfId="198" xr:uid="{00000000-0005-0000-0000-0000CA000000}"/>
    <cellStyle name="Note 2 14" xfId="199" xr:uid="{00000000-0005-0000-0000-0000CB000000}"/>
    <cellStyle name="Note 2 15" xfId="200" xr:uid="{00000000-0005-0000-0000-0000CC000000}"/>
    <cellStyle name="Note 2 2" xfId="201" xr:uid="{00000000-0005-0000-0000-0000CD000000}"/>
    <cellStyle name="Note 2 3" xfId="202" xr:uid="{00000000-0005-0000-0000-0000CE000000}"/>
    <cellStyle name="Note 2 4" xfId="203" xr:uid="{00000000-0005-0000-0000-0000CF000000}"/>
    <cellStyle name="Note 2 5" xfId="204" xr:uid="{00000000-0005-0000-0000-0000D0000000}"/>
    <cellStyle name="Note 2 6" xfId="205" xr:uid="{00000000-0005-0000-0000-0000D1000000}"/>
    <cellStyle name="Note 2 7" xfId="206" xr:uid="{00000000-0005-0000-0000-0000D2000000}"/>
    <cellStyle name="Note 2 8" xfId="207" xr:uid="{00000000-0005-0000-0000-0000D3000000}"/>
    <cellStyle name="Note 2 9" xfId="208" xr:uid="{00000000-0005-0000-0000-0000D4000000}"/>
    <cellStyle name="Note 3" xfId="209" xr:uid="{00000000-0005-0000-0000-0000D5000000}"/>
    <cellStyle name="Note 3 10" xfId="210" xr:uid="{00000000-0005-0000-0000-0000D6000000}"/>
    <cellStyle name="Note 3 11" xfId="211" xr:uid="{00000000-0005-0000-0000-0000D7000000}"/>
    <cellStyle name="Note 3 12" xfId="212" xr:uid="{00000000-0005-0000-0000-0000D8000000}"/>
    <cellStyle name="Note 3 13" xfId="213" xr:uid="{00000000-0005-0000-0000-0000D9000000}"/>
    <cellStyle name="Note 3 14" xfId="214" xr:uid="{00000000-0005-0000-0000-0000DA000000}"/>
    <cellStyle name="Note 3 15" xfId="215" xr:uid="{00000000-0005-0000-0000-0000DB000000}"/>
    <cellStyle name="Note 3 2" xfId="216" xr:uid="{00000000-0005-0000-0000-0000DC000000}"/>
    <cellStyle name="Note 3 3" xfId="217" xr:uid="{00000000-0005-0000-0000-0000DD000000}"/>
    <cellStyle name="Note 3 4" xfId="218" xr:uid="{00000000-0005-0000-0000-0000DE000000}"/>
    <cellStyle name="Note 3 5" xfId="219" xr:uid="{00000000-0005-0000-0000-0000DF000000}"/>
    <cellStyle name="Note 3 6" xfId="220" xr:uid="{00000000-0005-0000-0000-0000E0000000}"/>
    <cellStyle name="Note 3 7" xfId="221" xr:uid="{00000000-0005-0000-0000-0000E1000000}"/>
    <cellStyle name="Note 3 8" xfId="222" xr:uid="{00000000-0005-0000-0000-0000E2000000}"/>
    <cellStyle name="Note 3 9" xfId="223" xr:uid="{00000000-0005-0000-0000-0000E3000000}"/>
    <cellStyle name="Note 4" xfId="224" xr:uid="{00000000-0005-0000-0000-0000E4000000}"/>
    <cellStyle name="Note 4 10" xfId="225" xr:uid="{00000000-0005-0000-0000-0000E5000000}"/>
    <cellStyle name="Note 4 11" xfId="226" xr:uid="{00000000-0005-0000-0000-0000E6000000}"/>
    <cellStyle name="Note 4 12" xfId="227" xr:uid="{00000000-0005-0000-0000-0000E7000000}"/>
    <cellStyle name="Note 4 13" xfId="228" xr:uid="{00000000-0005-0000-0000-0000E8000000}"/>
    <cellStyle name="Note 4 14" xfId="229" xr:uid="{00000000-0005-0000-0000-0000E9000000}"/>
    <cellStyle name="Note 4 15" xfId="230" xr:uid="{00000000-0005-0000-0000-0000EA000000}"/>
    <cellStyle name="Note 4 2" xfId="231" xr:uid="{00000000-0005-0000-0000-0000EB000000}"/>
    <cellStyle name="Note 4 3" xfId="232" xr:uid="{00000000-0005-0000-0000-0000EC000000}"/>
    <cellStyle name="Note 4 4" xfId="233" xr:uid="{00000000-0005-0000-0000-0000ED000000}"/>
    <cellStyle name="Note 4 5" xfId="234" xr:uid="{00000000-0005-0000-0000-0000EE000000}"/>
    <cellStyle name="Note 4 6" xfId="235" xr:uid="{00000000-0005-0000-0000-0000EF000000}"/>
    <cellStyle name="Note 4 7" xfId="236" xr:uid="{00000000-0005-0000-0000-0000F0000000}"/>
    <cellStyle name="Note 4 8" xfId="237" xr:uid="{00000000-0005-0000-0000-0000F1000000}"/>
    <cellStyle name="Note 4 9" xfId="238" xr:uid="{00000000-0005-0000-0000-0000F2000000}"/>
    <cellStyle name="Note 5" xfId="239" xr:uid="{00000000-0005-0000-0000-0000F3000000}"/>
    <cellStyle name="Note 5 10" xfId="240" xr:uid="{00000000-0005-0000-0000-0000F4000000}"/>
    <cellStyle name="Note 5 11" xfId="241" xr:uid="{00000000-0005-0000-0000-0000F5000000}"/>
    <cellStyle name="Note 5 12" xfId="242" xr:uid="{00000000-0005-0000-0000-0000F6000000}"/>
    <cellStyle name="Note 5 13" xfId="243" xr:uid="{00000000-0005-0000-0000-0000F7000000}"/>
    <cellStyle name="Note 5 14" xfId="244" xr:uid="{00000000-0005-0000-0000-0000F8000000}"/>
    <cellStyle name="Note 5 15" xfId="245" xr:uid="{00000000-0005-0000-0000-0000F9000000}"/>
    <cellStyle name="Note 5 2" xfId="246" xr:uid="{00000000-0005-0000-0000-0000FA000000}"/>
    <cellStyle name="Note 5 3" xfId="247" xr:uid="{00000000-0005-0000-0000-0000FB000000}"/>
    <cellStyle name="Note 5 4" xfId="248" xr:uid="{00000000-0005-0000-0000-0000FC000000}"/>
    <cellStyle name="Note 5 5" xfId="249" xr:uid="{00000000-0005-0000-0000-0000FD000000}"/>
    <cellStyle name="Note 5 6" xfId="250" xr:uid="{00000000-0005-0000-0000-0000FE000000}"/>
    <cellStyle name="Note 5 7" xfId="251" xr:uid="{00000000-0005-0000-0000-0000FF000000}"/>
    <cellStyle name="Note 5 8" xfId="252" xr:uid="{00000000-0005-0000-0000-000000010000}"/>
    <cellStyle name="Note 5 9" xfId="253" xr:uid="{00000000-0005-0000-0000-000001010000}"/>
    <cellStyle name="Note 6" xfId="254" xr:uid="{00000000-0005-0000-0000-000002010000}"/>
    <cellStyle name="Note 6 10" xfId="255" xr:uid="{00000000-0005-0000-0000-000003010000}"/>
    <cellStyle name="Note 6 11" xfId="256" xr:uid="{00000000-0005-0000-0000-000004010000}"/>
    <cellStyle name="Note 6 12" xfId="257" xr:uid="{00000000-0005-0000-0000-000005010000}"/>
    <cellStyle name="Note 6 13" xfId="258" xr:uid="{00000000-0005-0000-0000-000006010000}"/>
    <cellStyle name="Note 6 14" xfId="259" xr:uid="{00000000-0005-0000-0000-000007010000}"/>
    <cellStyle name="Note 6 15" xfId="260" xr:uid="{00000000-0005-0000-0000-000008010000}"/>
    <cellStyle name="Note 6 2" xfId="261" xr:uid="{00000000-0005-0000-0000-000009010000}"/>
    <cellStyle name="Note 6 3" xfId="262" xr:uid="{00000000-0005-0000-0000-00000A010000}"/>
    <cellStyle name="Note 6 4" xfId="263" xr:uid="{00000000-0005-0000-0000-00000B010000}"/>
    <cellStyle name="Note 6 5" xfId="264" xr:uid="{00000000-0005-0000-0000-00000C010000}"/>
    <cellStyle name="Note 6 6" xfId="265" xr:uid="{00000000-0005-0000-0000-00000D010000}"/>
    <cellStyle name="Note 6 7" xfId="266" xr:uid="{00000000-0005-0000-0000-00000E010000}"/>
    <cellStyle name="Note 6 8" xfId="267" xr:uid="{00000000-0005-0000-0000-00000F010000}"/>
    <cellStyle name="Note 6 9" xfId="268" xr:uid="{00000000-0005-0000-0000-000010010000}"/>
    <cellStyle name="Note 7" xfId="269" xr:uid="{00000000-0005-0000-0000-000011010000}"/>
    <cellStyle name="Note 7 10" xfId="270" xr:uid="{00000000-0005-0000-0000-000012010000}"/>
    <cellStyle name="Note 7 11" xfId="271" xr:uid="{00000000-0005-0000-0000-000013010000}"/>
    <cellStyle name="Note 7 12" xfId="272" xr:uid="{00000000-0005-0000-0000-000014010000}"/>
    <cellStyle name="Note 7 13" xfId="273" xr:uid="{00000000-0005-0000-0000-000015010000}"/>
    <cellStyle name="Note 7 14" xfId="274" xr:uid="{00000000-0005-0000-0000-000016010000}"/>
    <cellStyle name="Note 7 15" xfId="275" xr:uid="{00000000-0005-0000-0000-000017010000}"/>
    <cellStyle name="Note 7 2" xfId="276" xr:uid="{00000000-0005-0000-0000-000018010000}"/>
    <cellStyle name="Note 7 3" xfId="277" xr:uid="{00000000-0005-0000-0000-000019010000}"/>
    <cellStyle name="Note 7 4" xfId="278" xr:uid="{00000000-0005-0000-0000-00001A010000}"/>
    <cellStyle name="Note 7 5" xfId="279" xr:uid="{00000000-0005-0000-0000-00001B010000}"/>
    <cellStyle name="Note 7 6" xfId="280" xr:uid="{00000000-0005-0000-0000-00001C010000}"/>
    <cellStyle name="Note 7 7" xfId="281" xr:uid="{00000000-0005-0000-0000-00001D010000}"/>
    <cellStyle name="Note 7 8" xfId="282" xr:uid="{00000000-0005-0000-0000-00001E010000}"/>
    <cellStyle name="Note 7 9" xfId="283" xr:uid="{00000000-0005-0000-0000-00001F010000}"/>
    <cellStyle name="Output" xfId="284" xr:uid="{00000000-0005-0000-0000-000020010000}"/>
    <cellStyle name="Output 2" xfId="285" xr:uid="{00000000-0005-0000-0000-000021010000}"/>
    <cellStyle name="Output 2 10" xfId="286" xr:uid="{00000000-0005-0000-0000-000022010000}"/>
    <cellStyle name="Output 2 11" xfId="287" xr:uid="{00000000-0005-0000-0000-000023010000}"/>
    <cellStyle name="Output 2 12" xfId="288" xr:uid="{00000000-0005-0000-0000-000024010000}"/>
    <cellStyle name="Output 2 13" xfId="289" xr:uid="{00000000-0005-0000-0000-000025010000}"/>
    <cellStyle name="Output 2 14" xfId="290" xr:uid="{00000000-0005-0000-0000-000026010000}"/>
    <cellStyle name="Output 2 15" xfId="291" xr:uid="{00000000-0005-0000-0000-000027010000}"/>
    <cellStyle name="Output 2 2" xfId="292" xr:uid="{00000000-0005-0000-0000-000028010000}"/>
    <cellStyle name="Output 2 3" xfId="293" xr:uid="{00000000-0005-0000-0000-000029010000}"/>
    <cellStyle name="Output 2 4" xfId="294" xr:uid="{00000000-0005-0000-0000-00002A010000}"/>
    <cellStyle name="Output 2 5" xfId="295" xr:uid="{00000000-0005-0000-0000-00002B010000}"/>
    <cellStyle name="Output 2 6" xfId="296" xr:uid="{00000000-0005-0000-0000-00002C010000}"/>
    <cellStyle name="Output 2 7" xfId="297" xr:uid="{00000000-0005-0000-0000-00002D010000}"/>
    <cellStyle name="Output 2 8" xfId="298" xr:uid="{00000000-0005-0000-0000-00002E010000}"/>
    <cellStyle name="Output 2 9" xfId="299" xr:uid="{00000000-0005-0000-0000-00002F010000}"/>
    <cellStyle name="Percent 2" xfId="300" xr:uid="{00000000-0005-0000-0000-000030010000}"/>
    <cellStyle name="Title" xfId="301" xr:uid="{00000000-0005-0000-0000-000031010000}"/>
    <cellStyle name="Title 2" xfId="302" xr:uid="{00000000-0005-0000-0000-000032010000}"/>
    <cellStyle name="Total" xfId="303" xr:uid="{00000000-0005-0000-0000-000033010000}"/>
    <cellStyle name="Total 2" xfId="304" xr:uid="{00000000-0005-0000-0000-000034010000}"/>
    <cellStyle name="Total 2 10" xfId="305" xr:uid="{00000000-0005-0000-0000-000035010000}"/>
    <cellStyle name="Total 2 11" xfId="306" xr:uid="{00000000-0005-0000-0000-000036010000}"/>
    <cellStyle name="Total 2 12" xfId="307" xr:uid="{00000000-0005-0000-0000-000037010000}"/>
    <cellStyle name="Total 2 13" xfId="308" xr:uid="{00000000-0005-0000-0000-000038010000}"/>
    <cellStyle name="Total 2 14" xfId="309" xr:uid="{00000000-0005-0000-0000-000039010000}"/>
    <cellStyle name="Total 2 15" xfId="310" xr:uid="{00000000-0005-0000-0000-00003A010000}"/>
    <cellStyle name="Total 2 2" xfId="311" xr:uid="{00000000-0005-0000-0000-00003B010000}"/>
    <cellStyle name="Total 2 3" xfId="312" xr:uid="{00000000-0005-0000-0000-00003C010000}"/>
    <cellStyle name="Total 2 4" xfId="313" xr:uid="{00000000-0005-0000-0000-00003D010000}"/>
    <cellStyle name="Total 2 5" xfId="314" xr:uid="{00000000-0005-0000-0000-00003E010000}"/>
    <cellStyle name="Total 2 6" xfId="315" xr:uid="{00000000-0005-0000-0000-00003F010000}"/>
    <cellStyle name="Total 2 7" xfId="316" xr:uid="{00000000-0005-0000-0000-000040010000}"/>
    <cellStyle name="Total 2 8" xfId="317" xr:uid="{00000000-0005-0000-0000-000041010000}"/>
    <cellStyle name="Total 2 9" xfId="318" xr:uid="{00000000-0005-0000-0000-000042010000}"/>
    <cellStyle name="Warning Text" xfId="319" xr:uid="{00000000-0005-0000-0000-000043010000}"/>
    <cellStyle name="Warning Text 2" xfId="320" xr:uid="{00000000-0005-0000-0000-000044010000}"/>
    <cellStyle name="เครื่องหมายจุลภาค 2" xfId="321" xr:uid="{00000000-0005-0000-0000-000045010000}"/>
    <cellStyle name="เครื่องหมายจุลภาค 2 2" xfId="322" xr:uid="{00000000-0005-0000-0000-000046010000}"/>
    <cellStyle name="เครื่องหมายจุลภาค 2 2 2" xfId="3" xr:uid="{00000000-0005-0000-0000-000047010000}"/>
    <cellStyle name="เครื่องหมายจุลภาค 2 2 3" xfId="323" xr:uid="{00000000-0005-0000-0000-000048010000}"/>
    <cellStyle name="เครื่องหมายจุลภาค 2 2 4" xfId="324" xr:uid="{00000000-0005-0000-0000-000049010000}"/>
    <cellStyle name="เครื่องหมายจุลภาค 2 2 5" xfId="325" xr:uid="{00000000-0005-0000-0000-00004A010000}"/>
    <cellStyle name="เครื่องหมายจุลภาค 2 2 6" xfId="326" xr:uid="{00000000-0005-0000-0000-00004B010000}"/>
    <cellStyle name="เครื่องหมายจุลภาค 2 3" xfId="327" xr:uid="{00000000-0005-0000-0000-00004C010000}"/>
    <cellStyle name="เครื่องหมายจุลภาค 2 3 2" xfId="328" xr:uid="{00000000-0005-0000-0000-00004D010000}"/>
    <cellStyle name="เครื่องหมายจุลภาค 2 3 3" xfId="329" xr:uid="{00000000-0005-0000-0000-00004E010000}"/>
    <cellStyle name="เครื่องหมายจุลภาค 2 3 4" xfId="330" xr:uid="{00000000-0005-0000-0000-00004F010000}"/>
    <cellStyle name="เครื่องหมายจุลภาค 2 3 5" xfId="331" xr:uid="{00000000-0005-0000-0000-000050010000}"/>
    <cellStyle name="เครื่องหมายจุลภาค 2 3 6" xfId="332" xr:uid="{00000000-0005-0000-0000-000051010000}"/>
    <cellStyle name="เครื่องหมายจุลภาค 2 4" xfId="333" xr:uid="{00000000-0005-0000-0000-000052010000}"/>
    <cellStyle name="เครื่องหมายจุลภาค 2 5" xfId="334" xr:uid="{00000000-0005-0000-0000-000053010000}"/>
    <cellStyle name="เครื่องหมายจุลภาค 2 6" xfId="335" xr:uid="{00000000-0005-0000-0000-000054010000}"/>
    <cellStyle name="เครื่องหมายจุลภาค 2 7" xfId="336" xr:uid="{00000000-0005-0000-0000-000055010000}"/>
    <cellStyle name="เครื่องหมายจุลภาค 2 8" xfId="337" xr:uid="{00000000-0005-0000-0000-000056010000}"/>
    <cellStyle name="เครื่องหมายจุลภาค 2 9" xfId="338" xr:uid="{00000000-0005-0000-0000-000057010000}"/>
    <cellStyle name="เครื่องหมายจุลภาค 3" xfId="339" xr:uid="{00000000-0005-0000-0000-000058010000}"/>
    <cellStyle name="เครื่องหมายจุลภาค 3 2" xfId="340" xr:uid="{00000000-0005-0000-0000-000059010000}"/>
    <cellStyle name="เครื่องหมายจุลภาค 3 3" xfId="341" xr:uid="{00000000-0005-0000-0000-00005A010000}"/>
    <cellStyle name="เครื่องหมายจุลภาค 3 4" xfId="342" xr:uid="{00000000-0005-0000-0000-00005B010000}"/>
    <cellStyle name="เครื่องหมายจุลภาค 3 5" xfId="343" xr:uid="{00000000-0005-0000-0000-00005C010000}"/>
    <cellStyle name="เครื่องหมายจุลภาค 3 6" xfId="344" xr:uid="{00000000-0005-0000-0000-00005D010000}"/>
    <cellStyle name="เครื่องหมายจุลภาค 4" xfId="345" xr:uid="{00000000-0005-0000-0000-00005E010000}"/>
    <cellStyle name="เครื่องหมายจุลภาค 4 2" xfId="346" xr:uid="{00000000-0005-0000-0000-00005F010000}"/>
    <cellStyle name="เครื่องหมายจุลภาค 4 3" xfId="347" xr:uid="{00000000-0005-0000-0000-000060010000}"/>
    <cellStyle name="เครื่องหมายจุลภาค 4 4" xfId="348" xr:uid="{00000000-0005-0000-0000-000061010000}"/>
    <cellStyle name="เครื่องหมายจุลภาค 4 5" xfId="349" xr:uid="{00000000-0005-0000-0000-000062010000}"/>
    <cellStyle name="เครื่องหมายจุลภาค 4 6" xfId="350" xr:uid="{00000000-0005-0000-0000-000063010000}"/>
    <cellStyle name="เครื่องหมายจุลภาค 5" xfId="351" xr:uid="{00000000-0005-0000-0000-000064010000}"/>
    <cellStyle name="เครื่องหมายจุลภาค 6" xfId="352" xr:uid="{00000000-0005-0000-0000-000065010000}"/>
    <cellStyle name="เครื่องหมายจุลภาค 7" xfId="353" xr:uid="{00000000-0005-0000-0000-000066010000}"/>
    <cellStyle name="เครื่องหมายจุลภาค 8" xfId="354" xr:uid="{00000000-0005-0000-0000-000067010000}"/>
    <cellStyle name="เครื่องหมายจุลภาค_แบบรายงาน สผส-1-2" xfId="447" xr:uid="{00000000-0005-0000-0000-000068010000}"/>
    <cellStyle name="จุลภาค 2" xfId="356" xr:uid="{00000000-0005-0000-0000-00006A010000}"/>
    <cellStyle name="จุลภาค 2 2" xfId="357" xr:uid="{00000000-0005-0000-0000-00006B010000}"/>
    <cellStyle name="จุลภาค 2 3" xfId="358" xr:uid="{00000000-0005-0000-0000-00006C010000}"/>
    <cellStyle name="น้บะภฒ_95" xfId="359" xr:uid="{00000000-0005-0000-0000-00006D010000}"/>
    <cellStyle name="ปกติ" xfId="0" builtinId="0"/>
    <cellStyle name="ปกติ 10" xfId="360" xr:uid="{00000000-0005-0000-0000-00006E010000}"/>
    <cellStyle name="ปกติ 11" xfId="361" xr:uid="{00000000-0005-0000-0000-00006F010000}"/>
    <cellStyle name="ปกติ 12" xfId="362" xr:uid="{00000000-0005-0000-0000-000070010000}"/>
    <cellStyle name="ปกติ 13" xfId="363" xr:uid="{00000000-0005-0000-0000-000071010000}"/>
    <cellStyle name="ปกติ 14" xfId="364" xr:uid="{00000000-0005-0000-0000-000072010000}"/>
    <cellStyle name="ปกติ 15" xfId="365" xr:uid="{00000000-0005-0000-0000-000073010000}"/>
    <cellStyle name="ปกติ 16" xfId="366" xr:uid="{00000000-0005-0000-0000-000074010000}"/>
    <cellStyle name="ปกติ 17" xfId="367" xr:uid="{00000000-0005-0000-0000-000075010000}"/>
    <cellStyle name="ปกติ 2" xfId="368" xr:uid="{00000000-0005-0000-0000-000076010000}"/>
    <cellStyle name="ปกติ 2 2" xfId="369" xr:uid="{00000000-0005-0000-0000-000077010000}"/>
    <cellStyle name="ปกติ 2 2 12 2" xfId="370" xr:uid="{00000000-0005-0000-0000-000078010000}"/>
    <cellStyle name="ปกติ 2 2 12 2 2" xfId="371" xr:uid="{00000000-0005-0000-0000-000079010000}"/>
    <cellStyle name="ปกติ 2 2 2" xfId="372" xr:uid="{00000000-0005-0000-0000-00007A010000}"/>
    <cellStyle name="ปกติ 2 2 3" xfId="373" xr:uid="{00000000-0005-0000-0000-00007B010000}"/>
    <cellStyle name="ปกติ 2 2 4" xfId="374" xr:uid="{00000000-0005-0000-0000-00007C010000}"/>
    <cellStyle name="ปกติ 2 2 5" xfId="375" xr:uid="{00000000-0005-0000-0000-00007D010000}"/>
    <cellStyle name="ปกติ 2 2 6" xfId="376" xr:uid="{00000000-0005-0000-0000-00007E010000}"/>
    <cellStyle name="ปกติ 2 3" xfId="377" xr:uid="{00000000-0005-0000-0000-00007F010000}"/>
    <cellStyle name="ปกติ 2 3 2" xfId="378" xr:uid="{00000000-0005-0000-0000-000080010000}"/>
    <cellStyle name="ปกติ 2 3 3" xfId="379" xr:uid="{00000000-0005-0000-0000-000081010000}"/>
    <cellStyle name="ปกติ 2 3 4" xfId="380" xr:uid="{00000000-0005-0000-0000-000082010000}"/>
    <cellStyle name="ปกติ 2 3 5" xfId="381" xr:uid="{00000000-0005-0000-0000-000083010000}"/>
    <cellStyle name="ปกติ 2 3 6" xfId="382" xr:uid="{00000000-0005-0000-0000-000084010000}"/>
    <cellStyle name="ปกติ 2 4" xfId="383" xr:uid="{00000000-0005-0000-0000-000085010000}"/>
    <cellStyle name="ปกติ 2 4 2" xfId="384" xr:uid="{00000000-0005-0000-0000-000086010000}"/>
    <cellStyle name="ปกติ 2 4 3" xfId="385" xr:uid="{00000000-0005-0000-0000-000087010000}"/>
    <cellStyle name="ปกติ 2 4 4" xfId="386" xr:uid="{00000000-0005-0000-0000-000088010000}"/>
    <cellStyle name="ปกติ 2 4 5" xfId="387" xr:uid="{00000000-0005-0000-0000-000089010000}"/>
    <cellStyle name="ปกติ 2 4 6" xfId="388" xr:uid="{00000000-0005-0000-0000-00008A010000}"/>
    <cellStyle name="ปกติ 2 5 7" xfId="389" xr:uid="{00000000-0005-0000-0000-00008B010000}"/>
    <cellStyle name="ปกติ 2 5 7 2" xfId="390" xr:uid="{00000000-0005-0000-0000-00008C010000}"/>
    <cellStyle name="ปกติ 20" xfId="391" xr:uid="{00000000-0005-0000-0000-00008D010000}"/>
    <cellStyle name="ปกติ 21" xfId="392" xr:uid="{00000000-0005-0000-0000-00008E010000}"/>
    <cellStyle name="ปกติ 21 2" xfId="393" xr:uid="{00000000-0005-0000-0000-00008F010000}"/>
    <cellStyle name="ปกติ 22" xfId="394" xr:uid="{00000000-0005-0000-0000-000090010000}"/>
    <cellStyle name="ปกติ 23" xfId="395" xr:uid="{00000000-0005-0000-0000-000091010000}"/>
    <cellStyle name="ปกติ 23 2" xfId="396" xr:uid="{00000000-0005-0000-0000-000092010000}"/>
    <cellStyle name="ปกติ 26" xfId="397" xr:uid="{00000000-0005-0000-0000-000093010000}"/>
    <cellStyle name="ปกติ 27" xfId="398" xr:uid="{00000000-0005-0000-0000-000094010000}"/>
    <cellStyle name="ปกติ 27 2" xfId="399" xr:uid="{00000000-0005-0000-0000-000095010000}"/>
    <cellStyle name="ปกติ 29" xfId="400" xr:uid="{00000000-0005-0000-0000-000096010000}"/>
    <cellStyle name="ปกติ 3" xfId="401" xr:uid="{00000000-0005-0000-0000-000097010000}"/>
    <cellStyle name="ปกติ 3 2" xfId="402" xr:uid="{00000000-0005-0000-0000-000098010000}"/>
    <cellStyle name="ปกติ 3 2 2" xfId="403" xr:uid="{00000000-0005-0000-0000-000099010000}"/>
    <cellStyle name="ปกติ 3 2 3" xfId="404" xr:uid="{00000000-0005-0000-0000-00009A010000}"/>
    <cellStyle name="ปกติ 3 2 4" xfId="405" xr:uid="{00000000-0005-0000-0000-00009B010000}"/>
    <cellStyle name="ปกติ 3 2 5" xfId="406" xr:uid="{00000000-0005-0000-0000-00009C010000}"/>
    <cellStyle name="ปกติ 3 2 6" xfId="407" xr:uid="{00000000-0005-0000-0000-00009D010000}"/>
    <cellStyle name="ปกติ 3 3" xfId="408" xr:uid="{00000000-0005-0000-0000-00009E010000}"/>
    <cellStyle name="ปกติ 3 3 2" xfId="409" xr:uid="{00000000-0005-0000-0000-00009F010000}"/>
    <cellStyle name="ปกติ 3 3 3" xfId="410" xr:uid="{00000000-0005-0000-0000-0000A0010000}"/>
    <cellStyle name="ปกติ 3 3 4" xfId="411" xr:uid="{00000000-0005-0000-0000-0000A1010000}"/>
    <cellStyle name="ปกติ 3 3 5" xfId="412" xr:uid="{00000000-0005-0000-0000-0000A2010000}"/>
    <cellStyle name="ปกติ 3 3 6" xfId="413" xr:uid="{00000000-0005-0000-0000-0000A3010000}"/>
    <cellStyle name="ปกติ 3 4" xfId="414" xr:uid="{00000000-0005-0000-0000-0000A4010000}"/>
    <cellStyle name="ปกติ 3 5" xfId="415" xr:uid="{00000000-0005-0000-0000-0000A5010000}"/>
    <cellStyle name="ปกติ 3 6" xfId="416" xr:uid="{00000000-0005-0000-0000-0000A6010000}"/>
    <cellStyle name="ปกติ 3 7" xfId="417" xr:uid="{00000000-0005-0000-0000-0000A7010000}"/>
    <cellStyle name="ปกติ 3 8" xfId="418" xr:uid="{00000000-0005-0000-0000-0000A8010000}"/>
    <cellStyle name="ปกติ 4" xfId="419" xr:uid="{00000000-0005-0000-0000-0000A9010000}"/>
    <cellStyle name="ปกติ 4 2" xfId="420" xr:uid="{00000000-0005-0000-0000-0000AA010000}"/>
    <cellStyle name="ปกติ 4 2 2" xfId="421" xr:uid="{00000000-0005-0000-0000-0000AB010000}"/>
    <cellStyle name="ปกติ 5" xfId="422" xr:uid="{00000000-0005-0000-0000-0000AC010000}"/>
    <cellStyle name="ปกติ 5 2" xfId="423" xr:uid="{00000000-0005-0000-0000-0000AD010000}"/>
    <cellStyle name="ปกติ 6" xfId="424" xr:uid="{00000000-0005-0000-0000-0000AE010000}"/>
    <cellStyle name="ปกติ 6 2" xfId="425" xr:uid="{00000000-0005-0000-0000-0000AF010000}"/>
    <cellStyle name="ปกติ 6 2 2" xfId="426" xr:uid="{00000000-0005-0000-0000-0000B0010000}"/>
    <cellStyle name="ปกติ 7" xfId="427" xr:uid="{00000000-0005-0000-0000-0000B1010000}"/>
    <cellStyle name="ปกติ 7 2 4" xfId="428" xr:uid="{00000000-0005-0000-0000-0000B2010000}"/>
    <cellStyle name="ปกติ 7 2 4 2" xfId="429" xr:uid="{00000000-0005-0000-0000-0000B3010000}"/>
    <cellStyle name="ปกติ 8" xfId="4" xr:uid="{00000000-0005-0000-0000-0000B4010000}"/>
    <cellStyle name="ปกติ 8 2" xfId="430" xr:uid="{00000000-0005-0000-0000-0000B5010000}"/>
    <cellStyle name="ปกติ 8 2 3" xfId="431" xr:uid="{00000000-0005-0000-0000-0000B6010000}"/>
    <cellStyle name="ปกติ 8 2 3 2" xfId="432" xr:uid="{00000000-0005-0000-0000-0000B7010000}"/>
    <cellStyle name="ปกติ 9" xfId="433" xr:uid="{00000000-0005-0000-0000-0000B8010000}"/>
    <cellStyle name="ปกติ 9 2" xfId="434" xr:uid="{00000000-0005-0000-0000-0000B9010000}"/>
    <cellStyle name="ปกติ 9 2 2" xfId="435" xr:uid="{00000000-0005-0000-0000-0000BA010000}"/>
    <cellStyle name="ปกติ_แบบรายงาน สผส-1-2" xfId="448" xr:uid="{4056BE9F-A9BF-4C91-B211-E9524FF085F9}"/>
    <cellStyle name="เปอร์เซ็นต์ 2" xfId="355" xr:uid="{00000000-0005-0000-0000-000069010000}"/>
    <cellStyle name="ฤธถ [0]_95" xfId="436" xr:uid="{00000000-0005-0000-0000-0000BC010000}"/>
    <cellStyle name="ฤธถ_95" xfId="437" xr:uid="{00000000-0005-0000-0000-0000BD010000}"/>
    <cellStyle name="ล๋ศญ [0]_95" xfId="438" xr:uid="{00000000-0005-0000-0000-0000BE010000}"/>
    <cellStyle name="ล๋ศญ_95" xfId="439" xr:uid="{00000000-0005-0000-0000-0000BF010000}"/>
    <cellStyle name="วฅมุ_4ฟ๙ฝวภ๛" xfId="440" xr:uid="{00000000-0005-0000-0000-0000C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1524000</xdr:colOff>
      <xdr:row>15</xdr:row>
      <xdr:rowOff>200024</xdr:rowOff>
    </xdr:from>
    <xdr:to>
      <xdr:col>9</xdr:col>
      <xdr:colOff>2049975</xdr:colOff>
      <xdr:row>19</xdr:row>
      <xdr:rowOff>7326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A3C0478E-17AC-4B4F-A3EA-7CB03A8A2F0A}"/>
            </a:ext>
          </a:extLst>
        </xdr:cNvPr>
        <xdr:cNvSpPr txBox="1"/>
      </xdr:nvSpPr>
      <xdr:spPr>
        <a:xfrm>
          <a:off x="13195788" y="4735389"/>
          <a:ext cx="2387014" cy="92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300" b="1">
              <a:solidFill>
                <a:schemeClr val="dk1"/>
              </a:solidFill>
              <a:effectLst/>
              <a:latin typeface="TH NiramitIT๙ " pitchFamily="2" charset="-34"/>
              <a:ea typeface="+mn-ea"/>
              <a:cs typeface="TH NiramitIT๙ " pitchFamily="2" charset="-34"/>
            </a:rPr>
            <a:t>ผู้รายงาน...นางสาววันเพ็ญ  คงทน</a:t>
          </a:r>
          <a:r>
            <a:rPr lang="en-US" sz="1300" b="1">
              <a:solidFill>
                <a:schemeClr val="dk1"/>
              </a:solidFill>
              <a:effectLst/>
              <a:latin typeface="TH NiramitIT๙ " pitchFamily="2" charset="-34"/>
              <a:ea typeface="+mn-ea"/>
              <a:cs typeface="TH NiramitIT๙ " pitchFamily="2" charset="-34"/>
            </a:rPr>
            <a:t>....</a:t>
          </a:r>
          <a:endParaRPr lang="th-TH" sz="1300" b="1">
            <a:solidFill>
              <a:schemeClr val="dk1"/>
            </a:solidFill>
            <a:effectLst/>
            <a:latin typeface="TH NiramitIT๙ " pitchFamily="2" charset="-34"/>
            <a:ea typeface="+mn-ea"/>
            <a:cs typeface="TH NiramitIT๙ " pitchFamily="2" charset="-34"/>
          </a:endParaRPr>
        </a:p>
        <a:p>
          <a:r>
            <a:rPr lang="th-TH" sz="1300" b="1">
              <a:solidFill>
                <a:schemeClr val="dk1"/>
              </a:solidFill>
              <a:effectLst/>
              <a:latin typeface="TH NiramitIT๙ " pitchFamily="2" charset="-34"/>
              <a:ea typeface="+mn-ea"/>
              <a:cs typeface="TH NiramitIT๙ " pitchFamily="2" charset="-34"/>
            </a:rPr>
            <a:t>ตำแหน่ง ....เจ้าหน้าที่การเงินและบัญชี</a:t>
          </a:r>
          <a:r>
            <a:rPr lang="en-US" sz="1300" b="1">
              <a:solidFill>
                <a:schemeClr val="dk1"/>
              </a:solidFill>
              <a:effectLst/>
              <a:latin typeface="TH NiramitIT๙ " pitchFamily="2" charset="-34"/>
              <a:ea typeface="+mn-ea"/>
              <a:cs typeface="TH NiramitIT๙ " pitchFamily="2" charset="-34"/>
            </a:rPr>
            <a:t>....</a:t>
          </a:r>
          <a:endParaRPr lang="th-TH" sz="1300">
            <a:effectLst/>
            <a:latin typeface="TH NiramitIT๙ " pitchFamily="2" charset="-34"/>
            <a:cs typeface="TH NiramitIT๙ " pitchFamily="2" charset="-34"/>
          </a:endParaRPr>
        </a:p>
        <a:p>
          <a:r>
            <a:rPr lang="th-TH" sz="1300" b="1">
              <a:solidFill>
                <a:schemeClr val="dk1"/>
              </a:solidFill>
              <a:effectLst/>
              <a:latin typeface="TH NiramitIT๙ " pitchFamily="2" charset="-34"/>
              <a:ea typeface="+mn-ea"/>
              <a:cs typeface="TH NiramitIT๙ " pitchFamily="2" charset="-34"/>
            </a:rPr>
            <a:t>โทร</a:t>
          </a:r>
          <a:r>
            <a:rPr lang="th-TH" sz="1300" b="1" baseline="0">
              <a:solidFill>
                <a:schemeClr val="dk1"/>
              </a:solidFill>
              <a:effectLst/>
              <a:latin typeface="TH NiramitIT๙ " pitchFamily="2" charset="-34"/>
              <a:ea typeface="+mn-ea"/>
              <a:cs typeface="TH NiramitIT๙ " pitchFamily="2" charset="-34"/>
            </a:rPr>
            <a:t> </a:t>
          </a:r>
          <a:r>
            <a:rPr lang="en-US" sz="1300" b="1" baseline="0">
              <a:solidFill>
                <a:schemeClr val="dk1"/>
              </a:solidFill>
              <a:effectLst/>
              <a:latin typeface="TH NiramitIT๙ " pitchFamily="2" charset="-34"/>
              <a:ea typeface="+mn-ea"/>
              <a:cs typeface="TH NiramitIT๙ " pitchFamily="2" charset="-34"/>
            </a:rPr>
            <a:t>:</a:t>
          </a:r>
          <a:r>
            <a:rPr lang="th-TH" sz="1300" b="1" baseline="0">
              <a:solidFill>
                <a:schemeClr val="dk1"/>
              </a:solidFill>
              <a:effectLst/>
              <a:latin typeface="TH NiramitIT๙ " pitchFamily="2" charset="-34"/>
              <a:ea typeface="+mn-ea"/>
              <a:cs typeface="TH NiramitIT๙ " pitchFamily="2" charset="-34"/>
            </a:rPr>
            <a:t> ....032-201395 </a:t>
          </a:r>
          <a:r>
            <a:rPr lang="en-US" sz="1300" b="1" baseline="0">
              <a:solidFill>
                <a:schemeClr val="dk1"/>
              </a:solidFill>
              <a:effectLst/>
              <a:latin typeface="TH NiramitIT๙ " pitchFamily="2" charset="-34"/>
              <a:ea typeface="+mn-ea"/>
              <a:cs typeface="TH NiramitIT๙ " pitchFamily="2" charset="-34"/>
            </a:rPr>
            <a:t>....</a:t>
          </a:r>
          <a:endParaRPr lang="th-TH" sz="1300">
            <a:effectLst/>
            <a:latin typeface="TH NiramitIT๙ " pitchFamily="2" charset="-34"/>
            <a:cs typeface="TH NiramitIT๙ " pitchFamily="2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ng\Downloads\Users\Tukta\Desktop\&#3629;&#3609;&#3640;&#3592;&#3633;&#3610;&#3593;&#3656;&#3634;&#3618;%2062%20&#3610;&#3641;&#3619;&#3603;&#3634;&#3585;&#3634;&#3619;%2026.6.6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anchana65\Desktop\&#3610;26\&#3611;&#3617;.101-104%20&#3626;&#3623;&#3609;&#3611;&#3656;&#3634;&#3648;&#3604;&#3636;&#3617;%20&#3611;&#3637;%20255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585;&#3619;&#3617;&#3611;&#3656;&#3634;&#3652;&#3617;&#3657;1\&#3591;&#3610;&#3611;&#3619;&#3632;&#3617;&#3634;&#3603;&#3611;&#3637;%202560\&#3588;&#3635;&#3586;&#3629;60\&#3585;&#3610;&#3629;.59\&#3649;&#3612;&#3609;&#3585;&#3634;&#3619;&#3610;&#3619;&#3636;&#3627;&#3634;&#3619;&#3607;&#3619;&#3633;&#3614;&#3618;&#3634;&#3585;&#3619;&#3609;&#3657;&#3635;&#3611;&#3637;%202560%20&#3611;&#3617;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ng\Downloads\Users\RFD\Downloads\&#3651;&#3594;&#3657;&#3629;&#3629;&#3629;&#3585;%20&#3649;&#3612;&#3609;&#3616;&#3634;&#3614;&#3619;&#3623;&#3617;%2064%20&#3618;&#3629;&#3604;&#3591;&#3610;&#3611;&#3619;&#3632;&#3617;&#3634;&#3603;%2064%20&#3605;&#3634;&#3617;&#3619;&#3656;&#3634;&#3591;%20&#3614;&#3619;&#3610;%20(&#3610;&#3633;&#3609;&#3607;&#3638;&#3585;&#3629;&#3633;&#3605;&#3650;&#3609;&#3617;&#3633;&#3605;&#363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"/>
      <sheetName val="ใบสรุปปะหน้า"/>
      <sheetName val=" ปก"/>
      <sheetName val=" สารบัญ"/>
      <sheetName val="1.รายชื่อ"/>
      <sheetName val="2.1สรุปผลการดำเนินงาน"/>
      <sheetName val="2.1 สรุปผลการดำเนินงาน(แก้)"/>
      <sheetName val="2.3 สรุปงบประมาณ"/>
      <sheetName val="2.4รายการผูกพัน"/>
      <sheetName val="2.5 เป้าหมาย แนวทาง"/>
      <sheetName val="2.6 แผนและผลการเบิกจ่าย"/>
      <sheetName val="2.6 แผนและผลเบิกจ่าย(แก้)"/>
      <sheetName val="2.7 สรุปโอน 60"/>
      <sheetName val="2.8 สรุปโอน 61"/>
      <sheetName val="2.9 พรบ.โอน 61"/>
      <sheetName val="2.10 เงินนอก"/>
      <sheetName val="4.3 1) สรุปงบ"/>
      <sheetName val="สรุปอบรม บูรณาการ"/>
      <sheetName val="ตัวคูณ อบรมบูรณา"/>
      <sheetName val="สรุปโฆษณา บูรณาการ"/>
      <sheetName val="ตัวคูณโฆษณา บูรณาการ"/>
      <sheetName val="สรุปค่าจ้างเหมา-จำแนกตามแผนงาน"/>
      <sheetName val="ตัวคูณจ้างเหมา งานบูรณาการ"/>
      <sheetName val="สรุปงบดำเนินงาน ตามแผนงาน"/>
      <sheetName val="ตัวคูณงบดำเนินงานแผนบรูฯ"/>
      <sheetName val="สรุปงบเงินอุดหนุน ตามแผนงาน"/>
      <sheetName val="คัวคูณงบเงินอุดหนุน-แผนงานบรูฯ"/>
      <sheetName val="3.1"/>
      <sheetName val=" 3.2"/>
      <sheetName val="ข้อ 4.1 มิติครุภัณฑ์ 62 "/>
      <sheetName val="4.1แบบ(ครุภัณฑ์ปีเดียว)62"/>
      <sheetName val="ครุภัณฑ์ผูกพัน"/>
      <sheetName val="4.2 มิติสิ่งก่อสร้าง "/>
      <sheetName val="4.2.แบบ(สิ่งก่อสร้างปีเดียว)62"/>
      <sheetName val="สิ่งก่อสร้างผูกพัน"/>
      <sheetName val="ตัวคูณงบรายจ่ายอื่น-แผนงาน"/>
      <sheetName val="ใบสรุปปะหน้า2"/>
      <sheetName val="สารบัญ"/>
      <sheetName val="1"/>
      <sheetName val="2.2สรุปหน้างบ-แผนบูรณาการ"/>
      <sheetName val="2.1สรุปหน้างบ"/>
      <sheetName val="สรุปอบรม-แผนงานพฐ"/>
      <sheetName val="สรุปอบรม-แผนงานยุทธฯ"/>
      <sheetName val="ตัวคูณอบรม-แผนงานพฐ"/>
      <sheetName val="ตัวคูณอบรม-แผนงานยุทธฯ"/>
      <sheetName val="สรุปอบรม-แผนงานบูรณาการ"/>
      <sheetName val="ตัวคูณอบรม-แผนงานบูรฯ"/>
      <sheetName val="สรุปโฆษณา-แผนงานพฐ"/>
      <sheetName val="สรุปโฆษณา-แผนงานยุทธฯ"/>
      <sheetName val="ตัวคูณโฆษณา พื้นฐาน"/>
      <sheetName val="ตัวคูณโฆษณา ยุทธ"/>
      <sheetName val="สรุปโฆษณา-แผนงานบูรณาการ"/>
      <sheetName val="ตัวคูณโฆษณา-แผนงานบูรฯ"/>
      <sheetName val="ตัวคูณโฆษณา-แผนงานบูรณาการ"/>
      <sheetName val="สรุปทปษ-จำแนกตามแผนงาน"/>
      <sheetName val="สรุปทปษ-แผนงานพฐ"/>
      <sheetName val="สรุปทปษ-แผนงานยุทธฯ"/>
      <sheetName val="ตัวคูณทปษ-แผนงานพื้นฐาน"/>
      <sheetName val="สรุปทปษ-แผนงานบูรณาการ"/>
      <sheetName val="ตัวคูณทปษ.แผนงานบูรณาการ"/>
      <sheetName val="ตัวคูณทปษ ยุทธ"/>
      <sheetName val="ตัวคูณทปษ-แผนบูรณาการ"/>
      <sheetName val="สรุปตปท-จำแนกตามแผนงาน "/>
      <sheetName val="สรุปตปท-แผนงานพฐ"/>
      <sheetName val="สรุปตปท-แผนงานยุทธฯ"/>
      <sheetName val="สรุปตปท-บูรณาการ"/>
      <sheetName val="ตัวคูณตปท พื้นฐาน"/>
      <sheetName val="ตัวคูณตปท-แผนงานยุทธฯ"/>
      <sheetName val="สรุปตปท-แผนงานบูรณาการ"/>
      <sheetName val="ตัวคูณตปท-แผนงานบูรณาการ"/>
      <sheetName val="ตัวคูณตปท-บูรณาการ"/>
      <sheetName val="สรุปวิจัย-จำแนกตามแผนงาน"/>
      <sheetName val="สรุปวิจัย-แผนงานพฐ"/>
      <sheetName val="สรุปวิจัย-แผนงานยุทธฯ"/>
      <sheetName val="สรุปวิจัย-แผนงานบรูฯ"/>
      <sheetName val="ตัวคูณวิจัย-แผนงานพฐ"/>
      <sheetName val="ตัวคูณวิจัย-แผนงานยุทธฯ"/>
      <sheetName val="ตัวคูณวิจัย บูรณาการ"/>
      <sheetName val="สรุปวิจัย-แผนงานบูรณาการ"/>
      <sheetName val="ตัวคูณวิจัย-แผนงานบูรฯ"/>
      <sheetName val="ตัวคูณจ้างเหมา-แผนงานพฐ"/>
      <sheetName val="ตัวคูณจ้างเหมา-แผนงานยุทธ"/>
      <sheetName val="สรุปค่าเช่า-จำแนกตามแผนงาน"/>
      <sheetName val="ตัวคูณค่าเช่า-แผนงานพฐ"/>
      <sheetName val="ตัวคูณค่าเช่า-แผนงานยุทธฯ"/>
      <sheetName val="ตัวคูณค่าเช่า-แผนงานบูรณาการ"/>
      <sheetName val="ตัวคูณค่าเช่า-บูรณาการ"/>
      <sheetName val="สรุปรถยนต์-จำแนกตามแผนงาน"/>
      <sheetName val="สรุปรถยนต์-แผนงานพฐ"/>
      <sheetName val="สรุปรถยนต์-แผนงานยุทธฯ"/>
      <sheetName val="สรุปรถยนต์-แผนงานบูรณาการ"/>
      <sheetName val="สรุปรถยนต์-บูรณาการ"/>
      <sheetName val="สรุปค่าสาธารณูฯ จำแนกตามแผนงาน"/>
      <sheetName val="สรุปค่าสาธารณูฯ -แผนงานพฐ"/>
      <sheetName val="สรุปค่าสาธารณูฯ-แผนงานยุทธฯ"/>
      <sheetName val="สรุปค่าสาธารณูฯ-แผนงานบูรณาการ"/>
      <sheetName val="ภาคผนวกอุดหนุน"/>
      <sheetName val="สรุปค่าสาธารณูฯ-บูรณาการ"/>
      <sheetName val="ตัวคูณงบดำเนินงาน-แผนพฐ"/>
      <sheetName val="ตัวคูณงบดำเนินงานแผนยุทธฯ"/>
      <sheetName val="ตัวคูณงบดำเนินงาน-แผนบูรณาการ"/>
      <sheetName val="ตัวคูณงบเงินอุดหนุน-แผนพฐ"/>
      <sheetName val="คัวคูณงบเงินอุดหนุน-แผนงานยุทธฯ"/>
      <sheetName val="ตัวคูณงบเงินอุดหนุน-แผนบูรณาการ"/>
      <sheetName val="สรุปงบรายจ่ายอื่น ตามแผนงาน"/>
      <sheetName val="ตัวคูณงบรายจ่ายอื่น-แผนงานพฐ"/>
      <sheetName val="ตัวคูณงบรายจ่ายอื่น-แผนงานยุทธฯ"/>
      <sheetName val="ตัวคูณงบรายจ่ายอื่น-บูรณาการ"/>
      <sheetName val="สรุปผลงาน"/>
      <sheetName val="สรุปรายงบ"/>
      <sheetName val="ตัวคูณงบรายจ่ายอื่น-แผนบูรณาการ"/>
      <sheetName val="กองทุน-รัฐวิสาหกิจ"/>
      <sheetName val="กองทุน"/>
      <sheetName val="รัฐวิสาหกิจ"/>
      <sheetName val="เงินนอกงปม.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ผนสวนป่าเดิม 57 ไม่มีสูตร"/>
      <sheetName val="ปม.101"/>
      <sheetName val="ปม.102"/>
      <sheetName val="ปม.103"/>
      <sheetName val="ปม.104"/>
      <sheetName val="สรุปแผน ปม.บำรุง"/>
      <sheetName val="งบดำเนินงาน102"/>
      <sheetName val="งบดำเนินงาน103"/>
      <sheetName val="งบดำเนินงาน104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ชี้แจงการกรอกข้อมูล"/>
      <sheetName val="แผนงาน"/>
      <sheetName val="ยุทธศาสตร์-ลุ่มน้ำ"/>
      <sheetName val="ยุทธศาสตร์-จังหวัด"/>
      <sheetName val="ยุทธศาสตร์-หน่วยงาน"/>
      <sheetName val="data list (ย่อ)"/>
      <sheetName val="data list (เต็ม)"/>
      <sheetName val="หน่วยงา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>
            <v>1.1000000000000001</v>
          </cell>
          <cell r="B4">
            <v>2.1</v>
          </cell>
          <cell r="C4">
            <v>3.1</v>
          </cell>
          <cell r="D4">
            <v>4.0999999999999996</v>
          </cell>
          <cell r="E4">
            <v>5.0999999999999996</v>
          </cell>
          <cell r="F4">
            <v>6.1</v>
          </cell>
          <cell r="I4" t="str">
            <v>ต้องทำ</v>
          </cell>
          <cell r="J4" t="str">
            <v>ต้องทำ</v>
          </cell>
          <cell r="K4" t="str">
            <v>ต้องทำ</v>
          </cell>
          <cell r="L4" t="str">
            <v>1</v>
          </cell>
          <cell r="M4" t="str">
            <v>ใหญ่</v>
          </cell>
        </row>
        <row r="5">
          <cell r="A5">
            <v>1.2</v>
          </cell>
          <cell r="B5">
            <v>2.2000000000000002</v>
          </cell>
          <cell r="C5">
            <v>3.2</v>
          </cell>
          <cell r="E5">
            <v>5.2</v>
          </cell>
          <cell r="F5">
            <v>6.2</v>
          </cell>
          <cell r="I5" t="str">
            <v>ทบทวน</v>
          </cell>
          <cell r="J5" t="str">
            <v>ทบทวน</v>
          </cell>
          <cell r="K5" t="str">
            <v>ทบทวน</v>
          </cell>
          <cell r="L5" t="str">
            <v>2</v>
          </cell>
          <cell r="M5" t="str">
            <v xml:space="preserve">กลาง </v>
          </cell>
        </row>
        <row r="6">
          <cell r="B6">
            <v>2.2999999999999998</v>
          </cell>
          <cell r="C6">
            <v>3.3</v>
          </cell>
          <cell r="I6" t="str">
            <v>แล้วเสร็จ</v>
          </cell>
          <cell r="J6" t="str">
            <v>แล้วเสร็จ</v>
          </cell>
          <cell r="K6" t="str">
            <v>แล้วเสร็จ</v>
          </cell>
          <cell r="L6" t="str">
            <v>3</v>
          </cell>
          <cell r="M6" t="str">
            <v>เล็ก</v>
          </cell>
        </row>
        <row r="7">
          <cell r="B7">
            <v>2.4</v>
          </cell>
          <cell r="C7">
            <v>3.4</v>
          </cell>
          <cell r="I7" t="str">
            <v>ระหว่างทำ</v>
          </cell>
          <cell r="J7" t="str">
            <v>ระหว่างทำ</v>
          </cell>
          <cell r="K7" t="str">
            <v>ระหว่างทำ</v>
          </cell>
          <cell r="L7" t="str">
            <v>4</v>
          </cell>
        </row>
        <row r="8">
          <cell r="B8">
            <v>2.5</v>
          </cell>
          <cell r="C8">
            <v>3.5</v>
          </cell>
          <cell r="J8" t="str">
            <v>ไม่ติด</v>
          </cell>
        </row>
        <row r="9">
          <cell r="B9">
            <v>2.6</v>
          </cell>
        </row>
      </sheetData>
      <sheetData sheetId="6" refreshError="1"/>
      <sheetData sheetId="7">
        <row r="2">
          <cell r="A2" t="str">
            <v>กรมชลประทาน</v>
          </cell>
          <cell r="D2" t="str">
            <v>สาละวิน</v>
          </cell>
          <cell r="F2" t="str">
            <v>กรุงเทพมหานคร</v>
          </cell>
        </row>
        <row r="3">
          <cell r="A3" t="str">
            <v>กรมพัฒนาที่ดิน</v>
          </cell>
          <cell r="D3" t="str">
            <v>โขง</v>
          </cell>
          <cell r="F3" t="str">
            <v>กระบี่</v>
          </cell>
        </row>
        <row r="4">
          <cell r="A4" t="str">
            <v>กรมทรัพยากรน้ำ</v>
          </cell>
          <cell r="D4" t="str">
            <v>กก</v>
          </cell>
          <cell r="F4" t="str">
            <v>กาญจนบุรี</v>
          </cell>
        </row>
        <row r="5">
          <cell r="A5" t="str">
            <v>กรมทรัพยากรน้ำบาดาล</v>
          </cell>
          <cell r="D5" t="str">
            <v>ชี</v>
          </cell>
          <cell r="F5" t="str">
            <v>กาฬสินธุ์</v>
          </cell>
        </row>
        <row r="6">
          <cell r="A6" t="str">
            <v>กรมควบคุมมลพิษ</v>
          </cell>
          <cell r="D6" t="str">
            <v>มูล</v>
          </cell>
          <cell r="F6" t="str">
            <v>กำแพงเพชร</v>
          </cell>
        </row>
        <row r="7">
          <cell r="A7" t="str">
            <v>สำนักงานนโยบายและแผนทรัพยากรธรรมชาติและสิ่งแวดล้อม</v>
          </cell>
          <cell r="D7" t="str">
            <v>ปิง</v>
          </cell>
          <cell r="F7" t="str">
            <v>ขอนแก่น</v>
          </cell>
        </row>
        <row r="8">
          <cell r="A8" t="str">
            <v>กรมอุทยานแห่งชาติสัตว์ป่าและพันธุ์พืช</v>
          </cell>
          <cell r="D8" t="str">
            <v>วัง</v>
          </cell>
          <cell r="F8" t="str">
            <v>จันทบุรี</v>
          </cell>
        </row>
        <row r="9">
          <cell r="A9" t="str">
            <v>กรมป่าไม้</v>
          </cell>
          <cell r="D9" t="str">
            <v>ยม</v>
          </cell>
          <cell r="F9" t="str">
            <v>ฉะเชิงเทรา</v>
          </cell>
        </row>
        <row r="10">
          <cell r="A10" t="str">
            <v>กรมทรัพยากรธรณี</v>
          </cell>
          <cell r="D10" t="str">
            <v>น่าน</v>
          </cell>
          <cell r="F10" t="str">
            <v>ชลบุรี</v>
          </cell>
        </row>
        <row r="11">
          <cell r="A11" t="str">
            <v>องค์การจัดการน้ำเสีย</v>
          </cell>
          <cell r="D11" t="str">
            <v>เจ้าพระยา</v>
          </cell>
          <cell r="F11" t="str">
            <v>ชัยนาท</v>
          </cell>
        </row>
        <row r="12">
          <cell r="A12" t="str">
            <v>กรมโยธาธิการและผังเมือง</v>
          </cell>
          <cell r="D12" t="str">
            <v>สะแกกรัง</v>
          </cell>
          <cell r="F12" t="str">
            <v>ชัยภูมิ</v>
          </cell>
        </row>
        <row r="13">
          <cell r="A13" t="str">
            <v>กรมส่งเสริมการปกครองท้องถิ่น/(เสนอแผน)</v>
          </cell>
          <cell r="D13" t="str">
            <v>ป่าสัก</v>
          </cell>
          <cell r="F13" t="str">
            <v>ชุมพร</v>
          </cell>
        </row>
        <row r="14">
          <cell r="A14" t="str">
            <v>กรมป้องกันและบรรเทาสาธารณะภัย</v>
          </cell>
          <cell r="D14" t="str">
            <v>ท่าจีน</v>
          </cell>
          <cell r="F14" t="str">
            <v>เชียงราย</v>
          </cell>
        </row>
        <row r="15">
          <cell r="A15" t="str">
            <v>การประปาส่วนภูมิภาค</v>
          </cell>
          <cell r="D15" t="str">
            <v>แม่กลอง</v>
          </cell>
          <cell r="F15" t="str">
            <v>เชียงใหม่</v>
          </cell>
        </row>
        <row r="16">
          <cell r="A16" t="str">
            <v>กรุงเทพมหานครฯ</v>
          </cell>
          <cell r="D16" t="str">
            <v>ปราจีนบุรี</v>
          </cell>
          <cell r="F16" t="str">
            <v>ตรัง</v>
          </cell>
        </row>
        <row r="17">
          <cell r="A17" t="str">
            <v>กรมเจ้าท่า</v>
          </cell>
          <cell r="D17" t="str">
            <v>บางประกง</v>
          </cell>
          <cell r="F17" t="str">
            <v>ตราด</v>
          </cell>
        </row>
        <row r="18">
          <cell r="A18" t="str">
            <v>หน่วยบัญชาการทหารพัฒนา</v>
          </cell>
          <cell r="D18" t="str">
            <v>โตนเลสาป</v>
          </cell>
          <cell r="F18" t="str">
            <v>ตาก</v>
          </cell>
        </row>
        <row r="19">
          <cell r="A19" t="str">
            <v>กรมการทหารช่าง</v>
          </cell>
          <cell r="D19" t="str">
            <v>ชายฝั่งตะวันออก</v>
          </cell>
          <cell r="F19" t="str">
            <v>นครนายก</v>
          </cell>
        </row>
        <row r="20">
          <cell r="A20" t="str">
            <v>กรมแผนที่ทหาร</v>
          </cell>
          <cell r="D20" t="str">
            <v>เพชรบุรี</v>
          </cell>
          <cell r="F20" t="str">
            <v>นครปฐม</v>
          </cell>
        </row>
        <row r="21">
          <cell r="A21" t="str">
            <v>สถาบันสารสนเทศทรัพยากรน้ำและการเกษตร</v>
          </cell>
          <cell r="D21" t="str">
            <v>ชายฝั่งตะวันตก</v>
          </cell>
          <cell r="F21" t="str">
            <v>นครพนม</v>
          </cell>
        </row>
        <row r="22">
          <cell r="A22" t="str">
            <v>สำนักงานพัฒนาเทคโนโลยีอวกาศและภูมิสารสนเทศ</v>
          </cell>
          <cell r="D22" t="str">
            <v>ภาคใต้ฝั่งตะวันออก</v>
          </cell>
          <cell r="F22" t="str">
            <v>นครราชสีมา</v>
          </cell>
        </row>
        <row r="23">
          <cell r="A23" t="str">
            <v>สำนักงานพัฒนาวิทยาศาสตร์และเทคโนโลยีแห่งชาติ</v>
          </cell>
          <cell r="D23" t="str">
            <v>ตาปี</v>
          </cell>
          <cell r="F23" t="str">
            <v>นครศรีธรรมราช</v>
          </cell>
        </row>
        <row r="24">
          <cell r="A24" t="str">
            <v>กรมอุตุนิยมวิทยา</v>
          </cell>
          <cell r="D24" t="str">
            <v>ทะเลสาบสงขลา</v>
          </cell>
          <cell r="F24" t="str">
            <v>นครสวรรค์</v>
          </cell>
        </row>
        <row r="25">
          <cell r="A25" t="str">
            <v>ศูนย์เตือนภัยพิบัติแห่งชาติ</v>
          </cell>
          <cell r="D25" t="str">
            <v>ปัตตานี</v>
          </cell>
          <cell r="F25" t="str">
            <v>นนทบุรี</v>
          </cell>
        </row>
        <row r="26">
          <cell r="A26" t="str">
            <v>สำนักงานสถิติแห่งชาติ</v>
          </cell>
          <cell r="D26" t="str">
            <v>ภาคใต้ฝั่งตะวันตก</v>
          </cell>
          <cell r="F26" t="str">
            <v>นราธิวาส</v>
          </cell>
        </row>
        <row r="27">
          <cell r="F27" t="str">
            <v>น่าน</v>
          </cell>
        </row>
        <row r="28">
          <cell r="F28" t="str">
            <v>บึงกาฬ</v>
          </cell>
        </row>
        <row r="29">
          <cell r="F29" t="str">
            <v>บุรีรัมย์</v>
          </cell>
        </row>
        <row r="30">
          <cell r="F30" t="str">
            <v>ปทุมธานี</v>
          </cell>
        </row>
        <row r="31">
          <cell r="F31" t="str">
            <v>ประจวบคีรีขันธ์</v>
          </cell>
        </row>
        <row r="32">
          <cell r="F32" t="str">
            <v>ปราจีนบุรี</v>
          </cell>
        </row>
        <row r="33">
          <cell r="F33" t="str">
            <v>ปัตตานี</v>
          </cell>
        </row>
        <row r="34">
          <cell r="F34" t="str">
            <v>พระนครศรีอยุธยา </v>
          </cell>
        </row>
        <row r="35">
          <cell r="F35" t="str">
            <v>พังงา</v>
          </cell>
        </row>
        <row r="36">
          <cell r="F36" t="str">
            <v>พัทลุง</v>
          </cell>
        </row>
        <row r="37">
          <cell r="F37" t="str">
            <v>พิจิตร</v>
          </cell>
        </row>
        <row r="38">
          <cell r="F38" t="str">
            <v>พิษณุโลก</v>
          </cell>
        </row>
        <row r="39">
          <cell r="F39" t="str">
            <v>เพชรบุรี</v>
          </cell>
        </row>
        <row r="40">
          <cell r="F40" t="str">
            <v>เพชรบูรณ์</v>
          </cell>
        </row>
        <row r="41">
          <cell r="F41" t="str">
            <v>แพร่</v>
          </cell>
        </row>
        <row r="42">
          <cell r="F42" t="str">
            <v>พะเยา</v>
          </cell>
        </row>
        <row r="43">
          <cell r="F43" t="str">
            <v>ภูเก็ต</v>
          </cell>
        </row>
        <row r="44">
          <cell r="F44" t="str">
            <v>มหาสารคาม</v>
          </cell>
        </row>
        <row r="45">
          <cell r="F45" t="str">
            <v>มุกดาหาร</v>
          </cell>
        </row>
        <row r="46">
          <cell r="F46" t="str">
            <v>แม่ฮ่องสอน</v>
          </cell>
        </row>
        <row r="47">
          <cell r="F47" t="str">
            <v>ยะลา</v>
          </cell>
        </row>
        <row r="48">
          <cell r="F48" t="str">
            <v>ยโสธร</v>
          </cell>
        </row>
        <row r="49">
          <cell r="F49" t="str">
            <v>ร้อยเอ็ด</v>
          </cell>
        </row>
        <row r="50">
          <cell r="F50" t="str">
            <v>ระนอง</v>
          </cell>
        </row>
        <row r="51">
          <cell r="F51" t="str">
            <v>ระยอง</v>
          </cell>
        </row>
        <row r="52">
          <cell r="F52" t="str">
            <v>ราชบุรี</v>
          </cell>
        </row>
        <row r="53">
          <cell r="F53" t="str">
            <v>ลพบุรี</v>
          </cell>
        </row>
        <row r="54">
          <cell r="F54" t="str">
            <v>ลำปาง</v>
          </cell>
        </row>
        <row r="55">
          <cell r="F55" t="str">
            <v>ลำพูน</v>
          </cell>
        </row>
        <row r="56">
          <cell r="F56" t="str">
            <v>เลย</v>
          </cell>
        </row>
        <row r="57">
          <cell r="F57" t="str">
            <v>ศรีสะเกษ</v>
          </cell>
        </row>
        <row r="58">
          <cell r="F58" t="str">
            <v>สกลนคร</v>
          </cell>
        </row>
        <row r="59">
          <cell r="F59" t="str">
            <v>สงขลา</v>
          </cell>
        </row>
        <row r="60">
          <cell r="F60" t="str">
            <v>สตูล</v>
          </cell>
        </row>
        <row r="61">
          <cell r="F61" t="str">
            <v>สมุทรปราการ</v>
          </cell>
        </row>
        <row r="62">
          <cell r="F62" t="str">
            <v>สมุทรสงคราม</v>
          </cell>
        </row>
        <row r="63">
          <cell r="F63" t="str">
            <v>สมุทรสาคร</v>
          </cell>
        </row>
        <row r="64">
          <cell r="F64" t="str">
            <v>สระแก้ว</v>
          </cell>
        </row>
        <row r="65">
          <cell r="F65" t="str">
            <v>สระบุรี</v>
          </cell>
        </row>
        <row r="66">
          <cell r="F66" t="str">
            <v>สิงห์บุรี</v>
          </cell>
        </row>
        <row r="67">
          <cell r="F67" t="str">
            <v>สุโขทัย</v>
          </cell>
        </row>
        <row r="68">
          <cell r="F68" t="str">
            <v>สุพรรณบุรี</v>
          </cell>
        </row>
        <row r="69">
          <cell r="F69" t="str">
            <v>สุราษฎร์ธานี</v>
          </cell>
        </row>
        <row r="70">
          <cell r="F70" t="str">
            <v>สุรินทร์</v>
          </cell>
        </row>
        <row r="71">
          <cell r="F71" t="str">
            <v>หนองคาย</v>
          </cell>
        </row>
        <row r="72">
          <cell r="F72" t="str">
            <v>หนองบัวลำภู</v>
          </cell>
        </row>
        <row r="73">
          <cell r="F73" t="str">
            <v>อ่างทอง</v>
          </cell>
        </row>
        <row r="74">
          <cell r="F74" t="str">
            <v>อุดรธานี</v>
          </cell>
        </row>
        <row r="75">
          <cell r="F75" t="str">
            <v>อุทัยธานี</v>
          </cell>
        </row>
        <row r="76">
          <cell r="F76" t="str">
            <v>อุตรดิตถ์</v>
          </cell>
        </row>
        <row r="77">
          <cell r="F77" t="str">
            <v>อุบลราชธานี</v>
          </cell>
        </row>
        <row r="78">
          <cell r="F78" t="str">
            <v>อำนาจเจริญ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งบลงทุน 60"/>
      <sheetName val="ออกพลางก่อนตัด "/>
      <sheetName val="พรบ 63"/>
      <sheetName val="พรบ 62"/>
      <sheetName val="พรบ 63 "/>
      <sheetName val="คำของบประมาณเบื้องต้น 64"/>
      <sheetName val="ฟอร์มกรอบที่ตั้งได้"/>
      <sheetName val="พิจารณา วันที่ ..28.4.63"/>
      <sheetName val="ผลผลิต (พจณ.1 2) "/>
      <sheetName val="ผลผลิต (ปรับรอบที่ 2) "/>
      <sheetName val="พิจารณา วันที่ 28.4.63"/>
      <sheetName val="ร่าง พรบ 64"/>
      <sheetName val="งบประมาณ 63พ ตัดออกแผน 64 งดง"/>
      <sheetName val="ภาพรวมงบดำเนินงานกรมป่าไม้ (2)"/>
      <sheetName val="สรุปรายการเทียบ"/>
      <sheetName val="ประมาณการ 64"/>
      <sheetName val="ประมาณการ"/>
      <sheetName val="ผลผลิต(ปรับ)"/>
      <sheetName val="เพาะชำกล้าไม้"/>
      <sheetName val="เพาะชำกล้าไม้ สสป"/>
      <sheetName val="9.4 รายละเอียด"/>
      <sheetName val="ฝึกอบรม"/>
      <sheetName val="ค่าโฆษณา ปชส"/>
      <sheetName val="ค่าเบี้ยเลี้ยงฯ"/>
      <sheetName val="ค่าเบี้ยเลี้ยงฯ พี่ปลา"/>
      <sheetName val="บุคลากรภาครัฐ"/>
      <sheetName val="ป้องกัน"/>
      <sheetName val="จัดที่ดิน"/>
      <sheetName val="ไม้ศก. พท.สีเขียว"/>
      <sheetName val="ฟื้นฟู"/>
      <sheetName val="ส่งเสริม"/>
      <sheetName val="บริหารจัดการ"/>
      <sheetName val="บริการ"/>
      <sheetName val="พัฒนาระบบ"/>
      <sheetName val="บริหารงานวิจัย"/>
      <sheetName val="ป้องกันชายแดนใต้"/>
      <sheetName val="ป้องกัน "/>
      <sheetName val="จัดที่ดินต"/>
      <sheetName val="ไม้ศก.พท.สีเขียว "/>
      <sheetName val="ฟื้นฟูพ"/>
      <sheetName val="ส่งเสริมพ"/>
      <sheetName val="บริหารจัดการพ"/>
      <sheetName val="บริการพ"/>
      <sheetName val="พัฒนาระบบพ"/>
      <sheetName val="บริหารงานวิจัยพ"/>
      <sheetName val="โครงการหลวง.."/>
      <sheetName val="โครงการขยายผลCS"/>
      <sheetName val="ป้องกันCS"/>
      <sheetName val="หมอกควัน"/>
      <sheetName val="อนุรักษ์ CS."/>
      <sheetName val="ส่งเสริมปลูกป่าเศรษฐกิจ CS"/>
      <sheetName val="ฟื้นฟูป่าCS."/>
      <sheetName val="ส่งเสริมป่าชุมชน CS"/>
      <sheetName val="ไม้พะยูงCS"/>
      <sheetName val="สมุนไพรCS"/>
      <sheetName val="เพิ่มพื้นที่สีเขียวCS."/>
      <sheetName val="เครื่องมือกลไกCS"/>
      <sheetName val="กจ.การจัดการพื้นที่"/>
      <sheetName val="เศรษฐกิจโลก"/>
      <sheetName val="เตรียมการป่าถาวรCS"/>
      <sheetName val="จัดหาที่ดินCS"/>
      <sheetName val="จัดที่ดินCS"/>
      <sheetName val="One Map"/>
      <sheetName val="จัดการที่ดินป่าไม้"/>
      <sheetName val="วิจัยพื้นฐาน (IP)"/>
      <sheetName val="ตั้งในกองทุน ยุทธวิจัยพัฒนา"/>
      <sheetName val="จัดการค.รู้วิจัย (IP)"/>
      <sheetName val="ปลูกป่าฟื้นฟูนิเวศน์"/>
      <sheetName val="เกษตรIP"/>
      <sheetName val="สร้างฝายต้นน้ำ"/>
      <sheetName val="no ยุวชนป่าต้นน้ำ"/>
      <sheetName val="NO ปลูกไม้ใช้สอย"/>
      <sheetName val="NO บูรท่องเที่ยวภูเก็ต"/>
      <sheetName val="NO บูรท่องเที่ยว โคราช"/>
      <sheetName val="โลจิสติกส์"/>
      <sheetName val="63ท่องเที่ยว"/>
      <sheetName val="หลักป้องกันไฟป่า"/>
      <sheetName val="ป้องกันและฟื้นฟู (เหนือ)บูร"/>
      <sheetName val="63ป้องกันและฟื้นฟู (เหนือ)บ"/>
      <sheetName val="อนุรักษ์ (เหนือ) บูร"/>
      <sheetName val="63อนุรักษ์ (เหนือ) (2)"/>
      <sheetName val="NO หลักแก้ไขปัญหาที่ดิน"/>
      <sheetName val="ไม่ผ่าน โครงการวิจัย R&amp;D"/>
      <sheetName val="ไม่ผ่าน ไม้มีค่า ในพื้นที่ คทช "/>
      <sheetName val="NO โครงการท่องเที่ยวเหนือ"/>
      <sheetName val="ไม่ผ่าน ป้องกัน (อีสาน)บูร"/>
      <sheetName val="ไม่ผ่าน ฟื้นฟู (อีสาน) (3)"/>
      <sheetName val="ไม่ผ่าน อนุรักษ์ (อีสาน) (3)"/>
      <sheetName val="ป้องกัน (อีสาน)บ"/>
      <sheetName val="ฟื้นฟู (อีสาน) (2)"/>
      <sheetName val="อนุรักษ์ (อีสาน) (2)"/>
      <sheetName val="โครงการพัฒนาแหล่งท่องเที่ยว"/>
      <sheetName val="พัฒนาอาชีพ บ"/>
      <sheetName val="NO โครงการเพิ่มพื้นที่สีเขียว"/>
      <sheetName val="No โครงการท่องเที่ยว"/>
      <sheetName val="ป้องกัน (ตะวันออก)บ"/>
      <sheetName val="ฟื้นฟู (ตะวันออก) (2)"/>
      <sheetName val="อนุรักษ์ (ตะวันออก) (2)"/>
      <sheetName val="ป้องกัน (กลาง)บ"/>
      <sheetName val="ฟื้นฟู (กลาง) (2)"/>
      <sheetName val="อนุรักษ์ (กลาง) (2)"/>
      <sheetName val="NO บางกระเจ้า"/>
      <sheetName val="โครงการประชาสัมพันธ์ (ปทุม)"/>
      <sheetName val="ป้องกัน (ใต้)บ"/>
      <sheetName val="ฟื้นฟู (ใต้)บ"/>
      <sheetName val="อนุรักษ์ (ใต้) (2)"/>
      <sheetName val="no โครงการท่องเที่ยวภาคใต้"/>
      <sheetName val="ป้องกัน (ใต้ชายแดน)63"/>
      <sheetName val="อนุรักษ์ (ใต้ชายแดน)63"/>
      <sheetName val="โครงการหลวง"/>
      <sheetName val="ปลูกป่าอาเชียน"/>
      <sheetName val="เพาะกล้าภาครัฐ"/>
      <sheetName val="ภาคีเครือข่าย"/>
      <sheetName val="เรือนกระจก"/>
      <sheetName val="เพิ่มศักยภาพองค์กร"/>
      <sheetName val="เศรษฐกิจพิเศษ"/>
      <sheetName val="ไฟป่า (เหนือ)"/>
      <sheetName val="ฟื้นฟูต้นน้ำ (เหนือ)"/>
      <sheetName val="ส่งเสริมฟื้นฟู (อีสาน)"/>
      <sheetName val="ส่งเสริมพัฒนา (อีสาน)"/>
      <sheetName val="บางกระเจ้า (ตะวันออก)"/>
      <sheetName val="ท่องเที่ยว (ใต้)"/>
      <sheetName val="ประวัติศาสตร์ (ใต้)"/>
      <sheetName val="ป้องกันและฟื้นฟู (เหนือ)"/>
      <sheetName val="อนุรักษ์ (เหนือ)"/>
      <sheetName val="ท่องเที่ยว (เหนือ)"/>
      <sheetName val="เพิ่มพื้นที่สีเขียว (เหนือ)"/>
      <sheetName val="ป่าเศรษฐกิจ (เหนือ)"/>
      <sheetName val="ป้องกัน (อีสาน)"/>
      <sheetName val="ฟื้นฟู (อีสาน)"/>
      <sheetName val="อนุรักษ์ (อีสาน)"/>
      <sheetName val="ท่องเที่ยว (อีสาน)"/>
      <sheetName val="แนวเขต (อีสาน)"/>
      <sheetName val="ป่าเศรษฐกิจ (อีสาน)"/>
      <sheetName val="เพิ่มพื้นที่สีเขียว (อีสาน)"/>
      <sheetName val="ป้องกัน (ตะวันออก)"/>
      <sheetName val="ฟื้นฟู (ตะวันออก)"/>
      <sheetName val="อนุรักษ์ (ตะวันออก)"/>
      <sheetName val="ป่าเศรษฐกิจ (ตะวันออก)"/>
      <sheetName val="ท่องเที่ยว (ตะวันออก)"/>
      <sheetName val="เพิ่มพื้นที่สีเขียว (ตะวันออก)"/>
      <sheetName val="ป้องกัน (กลาง)"/>
      <sheetName val="ฟื้นฟู (กลาง)"/>
      <sheetName val="อนุรักษ์ (กลาง)"/>
      <sheetName val="ป่าเศรษฐกิจ (กลาง)"/>
      <sheetName val="ท่องเที่ยว (กลาง)"/>
      <sheetName val="เพิ่มพื้นที่สีเขียว (กลาง)"/>
      <sheetName val="ป้องกัน (ใต้)"/>
      <sheetName val="ฟื้นฟู (ใต้)"/>
      <sheetName val="อนุรักษ์ (ใต้)"/>
      <sheetName val="เพิ่มพื้นที่สีเขียว (ใต้)"/>
      <sheetName val="ท่องเที่ยวส (ใต้)"/>
      <sheetName val="ป้องกัน (ใต้ชายแดน)"/>
      <sheetName val="ท่องเที่ยว (ใต้ชายแดน)"/>
      <sheetName val="อนุรักษ์ (ใต้ชายแดน)"/>
      <sheetName val="ฟื้นฟู (ใต้ชายแดน)"/>
      <sheetName val="เพิ่มพื้นที่สีเขียว (ใต้ชายแดน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>
        <row r="8">
          <cell r="P8">
            <v>0</v>
          </cell>
        </row>
        <row r="50">
          <cell r="P50">
            <v>0</v>
          </cell>
        </row>
        <row r="105">
          <cell r="P105">
            <v>0</v>
          </cell>
        </row>
        <row r="161">
          <cell r="P161">
            <v>0</v>
          </cell>
        </row>
      </sheetData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M69"/>
  <sheetViews>
    <sheetView zoomScale="80" zoomScaleNormal="80" workbookViewId="0">
      <selection activeCell="C16" sqref="C16"/>
    </sheetView>
  </sheetViews>
  <sheetFormatPr defaultColWidth="9.125" defaultRowHeight="24"/>
  <cols>
    <col min="1" max="1" width="6.625" style="145" customWidth="1"/>
    <col min="2" max="2" width="52.375" style="117" customWidth="1"/>
    <col min="3" max="6" width="21.375" style="117" customWidth="1"/>
    <col min="7" max="36" width="21.125" style="146" customWidth="1"/>
    <col min="37" max="38" width="9.125" style="117"/>
    <col min="39" max="39" width="16.75" style="118" customWidth="1"/>
    <col min="40" max="40" width="17.625" style="117" bestFit="1" customWidth="1"/>
    <col min="41" max="41" width="16" style="117" bestFit="1" customWidth="1"/>
    <col min="42" max="42" width="17.625" style="117" bestFit="1" customWidth="1"/>
    <col min="43" max="43" width="5.625" style="117" bestFit="1" customWidth="1"/>
    <col min="44" max="44" width="10.625" style="117" bestFit="1" customWidth="1"/>
    <col min="45" max="45" width="15.75" style="117" bestFit="1" customWidth="1"/>
    <col min="46" max="46" width="15" style="117" bestFit="1" customWidth="1"/>
    <col min="47" max="47" width="9.125" style="117"/>
    <col min="48" max="48" width="47.125" style="117" bestFit="1" customWidth="1"/>
    <col min="49" max="49" width="28.375" style="117" customWidth="1"/>
    <col min="50" max="50" width="15" style="117" bestFit="1" customWidth="1"/>
    <col min="51" max="51" width="16" style="117" bestFit="1" customWidth="1"/>
    <col min="52" max="52" width="4.875" style="117" bestFit="1" customWidth="1"/>
    <col min="53" max="53" width="10.625" style="117" bestFit="1" customWidth="1"/>
    <col min="54" max="54" width="15.75" style="117" bestFit="1" customWidth="1"/>
    <col min="55" max="55" width="15" style="117" bestFit="1" customWidth="1"/>
    <col min="56" max="16384" width="9.125" style="117"/>
  </cols>
  <sheetData>
    <row r="1" spans="1:39">
      <c r="A1" s="280" t="s">
        <v>217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</row>
    <row r="2" spans="1:39">
      <c r="A2" s="281" t="s">
        <v>218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</row>
    <row r="3" spans="1:39">
      <c r="A3" s="282" t="s">
        <v>219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</row>
    <row r="4" spans="1:39">
      <c r="A4" s="283" t="s">
        <v>220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</row>
    <row r="5" spans="1:39">
      <c r="A5" s="283" t="s">
        <v>221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</row>
    <row r="6" spans="1:39">
      <c r="A6" s="279" t="s">
        <v>222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</row>
    <row r="7" spans="1:39" s="119" customFormat="1" ht="21.75">
      <c r="A7" s="284" t="s">
        <v>223</v>
      </c>
      <c r="B7" s="287" t="s">
        <v>224</v>
      </c>
      <c r="C7" s="290" t="s">
        <v>225</v>
      </c>
      <c r="D7" s="290"/>
      <c r="E7" s="290"/>
      <c r="F7" s="290"/>
      <c r="G7" s="291" t="s">
        <v>5</v>
      </c>
      <c r="H7" s="292"/>
      <c r="I7" s="295" t="s">
        <v>226</v>
      </c>
      <c r="J7" s="295"/>
      <c r="K7" s="295"/>
      <c r="L7" s="295"/>
      <c r="M7" s="295"/>
      <c r="N7" s="295"/>
      <c r="O7" s="295"/>
      <c r="P7" s="295"/>
      <c r="Q7" s="295"/>
      <c r="R7" s="295"/>
      <c r="S7" s="296" t="s">
        <v>2</v>
      </c>
      <c r="T7" s="297"/>
      <c r="U7" s="297"/>
      <c r="V7" s="297"/>
      <c r="W7" s="297"/>
      <c r="X7" s="298"/>
      <c r="Y7" s="311" t="s">
        <v>3</v>
      </c>
      <c r="Z7" s="312"/>
      <c r="AA7" s="312"/>
      <c r="AB7" s="312"/>
      <c r="AC7" s="312"/>
      <c r="AD7" s="313"/>
      <c r="AE7" s="314" t="s">
        <v>4</v>
      </c>
      <c r="AF7" s="315"/>
      <c r="AG7" s="315"/>
      <c r="AH7" s="315"/>
      <c r="AI7" s="315"/>
      <c r="AJ7" s="316"/>
      <c r="AM7" s="120"/>
    </row>
    <row r="8" spans="1:39" s="119" customFormat="1" ht="21.75">
      <c r="A8" s="285"/>
      <c r="B8" s="288"/>
      <c r="C8" s="301" t="s">
        <v>227</v>
      </c>
      <c r="D8" s="301" t="s">
        <v>228</v>
      </c>
      <c r="E8" s="301" t="s">
        <v>229</v>
      </c>
      <c r="F8" s="121" t="s">
        <v>230</v>
      </c>
      <c r="G8" s="293"/>
      <c r="H8" s="294"/>
      <c r="I8" s="303" t="s">
        <v>5</v>
      </c>
      <c r="J8" s="304"/>
      <c r="K8" s="295" t="s">
        <v>231</v>
      </c>
      <c r="L8" s="295"/>
      <c r="M8" s="295" t="s">
        <v>232</v>
      </c>
      <c r="N8" s="295"/>
      <c r="O8" s="295" t="s">
        <v>6</v>
      </c>
      <c r="P8" s="295"/>
      <c r="Q8" s="295" t="s">
        <v>233</v>
      </c>
      <c r="R8" s="295"/>
      <c r="S8" s="299" t="s">
        <v>5</v>
      </c>
      <c r="T8" s="300"/>
      <c r="U8" s="299" t="s">
        <v>234</v>
      </c>
      <c r="V8" s="300"/>
      <c r="W8" s="299" t="s">
        <v>235</v>
      </c>
      <c r="X8" s="300"/>
      <c r="Y8" s="317" t="s">
        <v>5</v>
      </c>
      <c r="Z8" s="318"/>
      <c r="AA8" s="305" t="s">
        <v>236</v>
      </c>
      <c r="AB8" s="306"/>
      <c r="AC8" s="305" t="s">
        <v>237</v>
      </c>
      <c r="AD8" s="306"/>
      <c r="AE8" s="307" t="s">
        <v>5</v>
      </c>
      <c r="AF8" s="308"/>
      <c r="AG8" s="309" t="s">
        <v>236</v>
      </c>
      <c r="AH8" s="310"/>
      <c r="AI8" s="309" t="s">
        <v>237</v>
      </c>
      <c r="AJ8" s="310"/>
      <c r="AM8" s="120"/>
    </row>
    <row r="9" spans="1:39" s="119" customFormat="1" ht="21.75">
      <c r="A9" s="286"/>
      <c r="B9" s="289"/>
      <c r="C9" s="302"/>
      <c r="D9" s="302"/>
      <c r="E9" s="302"/>
      <c r="F9" s="122" t="s">
        <v>238</v>
      </c>
      <c r="G9" s="123" t="s">
        <v>239</v>
      </c>
      <c r="H9" s="123" t="s">
        <v>240</v>
      </c>
      <c r="I9" s="123" t="s">
        <v>239</v>
      </c>
      <c r="J9" s="123" t="s">
        <v>240</v>
      </c>
      <c r="K9" s="123" t="s">
        <v>239</v>
      </c>
      <c r="L9" s="123" t="s">
        <v>240</v>
      </c>
      <c r="M9" s="123" t="s">
        <v>239</v>
      </c>
      <c r="N9" s="123" t="s">
        <v>240</v>
      </c>
      <c r="O9" s="123" t="s">
        <v>239</v>
      </c>
      <c r="P9" s="123" t="s">
        <v>240</v>
      </c>
      <c r="Q9" s="123" t="s">
        <v>239</v>
      </c>
      <c r="R9" s="123" t="s">
        <v>240</v>
      </c>
      <c r="S9" s="123" t="s">
        <v>239</v>
      </c>
      <c r="T9" s="123" t="s">
        <v>240</v>
      </c>
      <c r="U9" s="123" t="s">
        <v>239</v>
      </c>
      <c r="V9" s="123" t="s">
        <v>240</v>
      </c>
      <c r="W9" s="123" t="s">
        <v>239</v>
      </c>
      <c r="X9" s="123" t="s">
        <v>240</v>
      </c>
      <c r="Y9" s="123" t="s">
        <v>239</v>
      </c>
      <c r="Z9" s="123" t="s">
        <v>240</v>
      </c>
      <c r="AA9" s="123" t="s">
        <v>239</v>
      </c>
      <c r="AB9" s="123" t="s">
        <v>240</v>
      </c>
      <c r="AC9" s="123" t="s">
        <v>239</v>
      </c>
      <c r="AD9" s="123" t="s">
        <v>240</v>
      </c>
      <c r="AE9" s="123" t="s">
        <v>239</v>
      </c>
      <c r="AF9" s="123" t="s">
        <v>240</v>
      </c>
      <c r="AG9" s="123" t="s">
        <v>239</v>
      </c>
      <c r="AH9" s="123" t="s">
        <v>240</v>
      </c>
      <c r="AI9" s="123" t="s">
        <v>239</v>
      </c>
      <c r="AJ9" s="123" t="s">
        <v>240</v>
      </c>
      <c r="AM9" s="120"/>
    </row>
    <row r="10" spans="1:39" s="128" customFormat="1" ht="24.75" thickBot="1">
      <c r="A10" s="124"/>
      <c r="B10" s="125" t="s">
        <v>5</v>
      </c>
      <c r="C10" s="126"/>
      <c r="D10" s="126"/>
      <c r="E10" s="126"/>
      <c r="F10" s="126"/>
      <c r="G10" s="127">
        <f>SUM(G11+G12)</f>
        <v>0</v>
      </c>
      <c r="H10" s="127">
        <f>SUM(H11+H12)</f>
        <v>0</v>
      </c>
      <c r="I10" s="127">
        <f>SUM(I11+I12)</f>
        <v>0</v>
      </c>
      <c r="J10" s="127">
        <f>SUM(J11+J12)</f>
        <v>0</v>
      </c>
      <c r="K10" s="127">
        <f>SUM(K11+K12)</f>
        <v>0</v>
      </c>
      <c r="L10" s="127">
        <f t="shared" ref="L10" si="0">SUM(L11+L12)</f>
        <v>0</v>
      </c>
      <c r="M10" s="127">
        <f>SUM(M11+M12)</f>
        <v>0</v>
      </c>
      <c r="N10" s="127">
        <f t="shared" ref="N10" si="1">SUM(N11+N12)</f>
        <v>0</v>
      </c>
      <c r="O10" s="127">
        <f>SUM(O11+O12)</f>
        <v>0</v>
      </c>
      <c r="P10" s="127">
        <f t="shared" ref="P10" si="2">SUM(P11+P12)</f>
        <v>0</v>
      </c>
      <c r="Q10" s="127">
        <f>SUM(Q11+Q12)</f>
        <v>0</v>
      </c>
      <c r="R10" s="127">
        <f t="shared" ref="R10:AJ10" si="3">SUM(R11+R12)</f>
        <v>0</v>
      </c>
      <c r="S10" s="127">
        <f>SUM(S11+S12)</f>
        <v>0</v>
      </c>
      <c r="T10" s="127">
        <f t="shared" si="3"/>
        <v>0</v>
      </c>
      <c r="U10" s="127">
        <f>SUM(U11+U12)</f>
        <v>0</v>
      </c>
      <c r="V10" s="127">
        <f t="shared" si="3"/>
        <v>0</v>
      </c>
      <c r="W10" s="127">
        <f t="shared" si="3"/>
        <v>0</v>
      </c>
      <c r="X10" s="127">
        <f t="shared" si="3"/>
        <v>0</v>
      </c>
      <c r="Y10" s="127">
        <f t="shared" si="3"/>
        <v>0</v>
      </c>
      <c r="Z10" s="127">
        <f t="shared" si="3"/>
        <v>0</v>
      </c>
      <c r="AA10" s="127">
        <f t="shared" si="3"/>
        <v>0</v>
      </c>
      <c r="AB10" s="127">
        <f t="shared" si="3"/>
        <v>0</v>
      </c>
      <c r="AC10" s="127">
        <f t="shared" si="3"/>
        <v>0</v>
      </c>
      <c r="AD10" s="127">
        <f t="shared" si="3"/>
        <v>0</v>
      </c>
      <c r="AE10" s="127">
        <f t="shared" si="3"/>
        <v>0</v>
      </c>
      <c r="AF10" s="127">
        <f t="shared" si="3"/>
        <v>0</v>
      </c>
      <c r="AG10" s="127">
        <f t="shared" si="3"/>
        <v>0</v>
      </c>
      <c r="AH10" s="127">
        <f t="shared" si="3"/>
        <v>0</v>
      </c>
      <c r="AI10" s="127">
        <f t="shared" si="3"/>
        <v>0</v>
      </c>
      <c r="AJ10" s="127">
        <f t="shared" si="3"/>
        <v>0</v>
      </c>
      <c r="AM10" s="129"/>
    </row>
    <row r="11" spans="1:39" ht="24.75" thickTop="1">
      <c r="A11" s="130"/>
      <c r="B11" s="131" t="s">
        <v>241</v>
      </c>
      <c r="C11" s="132"/>
      <c r="D11" s="132"/>
      <c r="E11" s="132"/>
      <c r="F11" s="132"/>
      <c r="G11" s="133">
        <f>SUM(I11+S11+Y11+AE11)</f>
        <v>0</v>
      </c>
      <c r="H11" s="133">
        <f>SUM(J11+T11+Z11+AF11)</f>
        <v>0</v>
      </c>
      <c r="I11" s="134">
        <f>K11+M11+O11+Q11</f>
        <v>0</v>
      </c>
      <c r="J11" s="134">
        <f>L11+N11+P11+R11</f>
        <v>0</v>
      </c>
      <c r="K11" s="135"/>
      <c r="L11" s="135"/>
      <c r="M11" s="135"/>
      <c r="N11" s="135"/>
      <c r="O11" s="135"/>
      <c r="P11" s="135"/>
      <c r="Q11" s="135"/>
      <c r="R11" s="135"/>
      <c r="S11" s="133">
        <f>SUM(U11+W11)</f>
        <v>0</v>
      </c>
      <c r="T11" s="133">
        <f>SUM(V11+X11)</f>
        <v>0</v>
      </c>
      <c r="U11" s="135"/>
      <c r="V11" s="135"/>
      <c r="W11" s="135"/>
      <c r="X11" s="135"/>
      <c r="Y11" s="133">
        <f>SUM(AA11+AC11)</f>
        <v>0</v>
      </c>
      <c r="Z11" s="133">
        <f>SUM(AB11+AD11)</f>
        <v>0</v>
      </c>
      <c r="AA11" s="135"/>
      <c r="AB11" s="135"/>
      <c r="AC11" s="135"/>
      <c r="AD11" s="135"/>
      <c r="AE11" s="133">
        <f>SUM(AG11+AI11)</f>
        <v>0</v>
      </c>
      <c r="AF11" s="133">
        <f>SUM(AH11+AJ11)</f>
        <v>0</v>
      </c>
      <c r="AG11" s="135"/>
      <c r="AH11" s="135"/>
      <c r="AI11" s="135"/>
      <c r="AJ11" s="135"/>
    </row>
    <row r="12" spans="1:39">
      <c r="A12" s="136"/>
      <c r="B12" s="137" t="s">
        <v>242</v>
      </c>
      <c r="C12" s="138"/>
      <c r="D12" s="138"/>
      <c r="E12" s="138"/>
      <c r="F12" s="138"/>
      <c r="G12" s="139">
        <f>SUM(G13:G35)</f>
        <v>0</v>
      </c>
      <c r="H12" s="139">
        <f>SUM(H13:H35)</f>
        <v>0</v>
      </c>
      <c r="I12" s="139">
        <f>SUM(I13:I35)</f>
        <v>0</v>
      </c>
      <c r="J12" s="139">
        <f>SUM(J13:J35)</f>
        <v>0</v>
      </c>
      <c r="K12" s="139">
        <f>SUM(K13:K35)</f>
        <v>0</v>
      </c>
      <c r="L12" s="139">
        <f t="shared" ref="L12" si="4">SUM(L13:L35)</f>
        <v>0</v>
      </c>
      <c r="M12" s="139">
        <f>SUM(M13:M35)</f>
        <v>0</v>
      </c>
      <c r="N12" s="139">
        <f t="shared" ref="N12" si="5">SUM(N13:N35)</f>
        <v>0</v>
      </c>
      <c r="O12" s="139">
        <f>SUM(O13:O35)</f>
        <v>0</v>
      </c>
      <c r="P12" s="139">
        <f t="shared" ref="P12" si="6">SUM(P13:P35)</f>
        <v>0</v>
      </c>
      <c r="Q12" s="139">
        <f>SUM(Q13:Q35)</f>
        <v>0</v>
      </c>
      <c r="R12" s="139">
        <f t="shared" ref="R12:AJ12" si="7">SUM(R13:R35)</f>
        <v>0</v>
      </c>
      <c r="S12" s="139">
        <f>SUM(S13:S35)</f>
        <v>0</v>
      </c>
      <c r="T12" s="139">
        <f t="shared" si="7"/>
        <v>0</v>
      </c>
      <c r="U12" s="139">
        <f>SUM(U13:U35)</f>
        <v>0</v>
      </c>
      <c r="V12" s="139">
        <f t="shared" si="7"/>
        <v>0</v>
      </c>
      <c r="W12" s="139">
        <f t="shared" si="7"/>
        <v>0</v>
      </c>
      <c r="X12" s="139">
        <f t="shared" si="7"/>
        <v>0</v>
      </c>
      <c r="Y12" s="139">
        <f t="shared" si="7"/>
        <v>0</v>
      </c>
      <c r="Z12" s="139">
        <f t="shared" si="7"/>
        <v>0</v>
      </c>
      <c r="AA12" s="139">
        <f t="shared" si="7"/>
        <v>0</v>
      </c>
      <c r="AB12" s="139">
        <f t="shared" si="7"/>
        <v>0</v>
      </c>
      <c r="AC12" s="139">
        <f t="shared" si="7"/>
        <v>0</v>
      </c>
      <c r="AD12" s="139">
        <f t="shared" si="7"/>
        <v>0</v>
      </c>
      <c r="AE12" s="139">
        <f t="shared" si="7"/>
        <v>0</v>
      </c>
      <c r="AF12" s="139">
        <f t="shared" si="7"/>
        <v>0</v>
      </c>
      <c r="AG12" s="139">
        <f t="shared" si="7"/>
        <v>0</v>
      </c>
      <c r="AH12" s="139">
        <f t="shared" si="7"/>
        <v>0</v>
      </c>
      <c r="AI12" s="139">
        <f t="shared" si="7"/>
        <v>0</v>
      </c>
      <c r="AJ12" s="139">
        <f t="shared" si="7"/>
        <v>0</v>
      </c>
    </row>
    <row r="13" spans="1:39">
      <c r="A13" s="136">
        <v>1</v>
      </c>
      <c r="B13" s="140" t="s">
        <v>243</v>
      </c>
      <c r="C13" s="141"/>
      <c r="D13" s="141"/>
      <c r="E13" s="141"/>
      <c r="F13" s="141"/>
      <c r="G13" s="142">
        <f t="shared" ref="G13:H35" si="8">SUM(I13+S13+Y13+AE13)</f>
        <v>0</v>
      </c>
      <c r="H13" s="142">
        <f t="shared" si="8"/>
        <v>0</v>
      </c>
      <c r="I13" s="143">
        <f>K13+M13+O13+Q13</f>
        <v>0</v>
      </c>
      <c r="J13" s="143">
        <f>L13+N13+P13+R13</f>
        <v>0</v>
      </c>
      <c r="K13" s="144"/>
      <c r="L13" s="144"/>
      <c r="M13" s="144"/>
      <c r="N13" s="144"/>
      <c r="O13" s="144"/>
      <c r="P13" s="144"/>
      <c r="Q13" s="144"/>
      <c r="R13" s="144"/>
      <c r="S13" s="142">
        <f>SUM(U13+W13)</f>
        <v>0</v>
      </c>
      <c r="T13" s="142">
        <f>SUM(V13+X13)</f>
        <v>0</v>
      </c>
      <c r="U13" s="144"/>
      <c r="V13" s="144"/>
      <c r="W13" s="144"/>
      <c r="X13" s="144"/>
      <c r="Y13" s="142">
        <f>SUM(AA13+AC13)</f>
        <v>0</v>
      </c>
      <c r="Z13" s="142">
        <f>SUM(AB13+AD13)</f>
        <v>0</v>
      </c>
      <c r="AA13" s="144"/>
      <c r="AB13" s="144"/>
      <c r="AC13" s="144"/>
      <c r="AD13" s="144"/>
      <c r="AE13" s="142">
        <f>SUM(AG13+AI13)</f>
        <v>0</v>
      </c>
      <c r="AF13" s="142">
        <f>SUM(AH13+AJ13)</f>
        <v>0</v>
      </c>
      <c r="AG13" s="144"/>
      <c r="AH13" s="144"/>
      <c r="AI13" s="144"/>
      <c r="AJ13" s="144"/>
    </row>
    <row r="14" spans="1:39">
      <c r="A14" s="136">
        <v>2</v>
      </c>
      <c r="B14" s="140" t="s">
        <v>244</v>
      </c>
      <c r="C14" s="141"/>
      <c r="D14" s="141"/>
      <c r="E14" s="141"/>
      <c r="F14" s="141"/>
      <c r="G14" s="142">
        <f t="shared" si="8"/>
        <v>0</v>
      </c>
      <c r="H14" s="142">
        <f t="shared" si="8"/>
        <v>0</v>
      </c>
      <c r="I14" s="143">
        <f t="shared" ref="I14:J35" si="9">K14+M14+O14+Q14</f>
        <v>0</v>
      </c>
      <c r="J14" s="143">
        <f t="shared" si="9"/>
        <v>0</v>
      </c>
      <c r="K14" s="144"/>
      <c r="L14" s="144"/>
      <c r="M14" s="144"/>
      <c r="N14" s="144"/>
      <c r="O14" s="144"/>
      <c r="P14" s="144"/>
      <c r="Q14" s="144"/>
      <c r="R14" s="144"/>
      <c r="S14" s="142">
        <f t="shared" ref="S14:T35" si="10">SUM(U14+W14)</f>
        <v>0</v>
      </c>
      <c r="T14" s="142">
        <f t="shared" si="10"/>
        <v>0</v>
      </c>
      <c r="U14" s="144"/>
      <c r="V14" s="144"/>
      <c r="W14" s="144"/>
      <c r="X14" s="144"/>
      <c r="Y14" s="142">
        <f t="shared" ref="Y14:Z35" si="11">SUM(AA14+AC14)</f>
        <v>0</v>
      </c>
      <c r="Z14" s="142">
        <f t="shared" si="11"/>
        <v>0</v>
      </c>
      <c r="AA14" s="144"/>
      <c r="AB14" s="144"/>
      <c r="AC14" s="144"/>
      <c r="AD14" s="144"/>
      <c r="AE14" s="142">
        <f t="shared" ref="AE14:AF35" si="12">SUM(AG14+AI14)</f>
        <v>0</v>
      </c>
      <c r="AF14" s="142">
        <f t="shared" si="12"/>
        <v>0</v>
      </c>
      <c r="AG14" s="144"/>
      <c r="AH14" s="144"/>
      <c r="AI14" s="144"/>
      <c r="AJ14" s="144"/>
    </row>
    <row r="15" spans="1:39">
      <c r="A15" s="136">
        <v>3</v>
      </c>
      <c r="B15" s="140" t="s">
        <v>245</v>
      </c>
      <c r="C15" s="141"/>
      <c r="D15" s="141"/>
      <c r="E15" s="141"/>
      <c r="F15" s="141"/>
      <c r="G15" s="142">
        <f t="shared" si="8"/>
        <v>0</v>
      </c>
      <c r="H15" s="142">
        <f t="shared" si="8"/>
        <v>0</v>
      </c>
      <c r="I15" s="143">
        <f t="shared" si="9"/>
        <v>0</v>
      </c>
      <c r="J15" s="143">
        <f t="shared" si="9"/>
        <v>0</v>
      </c>
      <c r="K15" s="144"/>
      <c r="L15" s="144"/>
      <c r="M15" s="144"/>
      <c r="N15" s="144"/>
      <c r="O15" s="144"/>
      <c r="P15" s="144"/>
      <c r="Q15" s="144"/>
      <c r="R15" s="144"/>
      <c r="S15" s="142">
        <f t="shared" si="10"/>
        <v>0</v>
      </c>
      <c r="T15" s="142">
        <f t="shared" si="10"/>
        <v>0</v>
      </c>
      <c r="U15" s="144"/>
      <c r="V15" s="144"/>
      <c r="W15" s="144"/>
      <c r="X15" s="144"/>
      <c r="Y15" s="142">
        <f t="shared" si="11"/>
        <v>0</v>
      </c>
      <c r="Z15" s="142">
        <f t="shared" si="11"/>
        <v>0</v>
      </c>
      <c r="AA15" s="144"/>
      <c r="AB15" s="144"/>
      <c r="AC15" s="144"/>
      <c r="AD15" s="144"/>
      <c r="AE15" s="142">
        <f t="shared" si="12"/>
        <v>0</v>
      </c>
      <c r="AF15" s="142">
        <f t="shared" si="12"/>
        <v>0</v>
      </c>
      <c r="AG15" s="144"/>
      <c r="AH15" s="144"/>
      <c r="AI15" s="144"/>
      <c r="AJ15" s="144"/>
    </row>
    <row r="16" spans="1:39">
      <c r="A16" s="136">
        <v>4</v>
      </c>
      <c r="B16" s="140" t="s">
        <v>246</v>
      </c>
      <c r="C16" s="141"/>
      <c r="D16" s="141"/>
      <c r="E16" s="141"/>
      <c r="F16" s="141"/>
      <c r="G16" s="142">
        <f t="shared" si="8"/>
        <v>0</v>
      </c>
      <c r="H16" s="142">
        <f t="shared" si="8"/>
        <v>0</v>
      </c>
      <c r="I16" s="143">
        <f t="shared" si="9"/>
        <v>0</v>
      </c>
      <c r="J16" s="143">
        <f t="shared" si="9"/>
        <v>0</v>
      </c>
      <c r="K16" s="144"/>
      <c r="L16" s="144"/>
      <c r="M16" s="144"/>
      <c r="N16" s="144"/>
      <c r="O16" s="144"/>
      <c r="P16" s="144"/>
      <c r="Q16" s="144"/>
      <c r="R16" s="144"/>
      <c r="S16" s="142">
        <f t="shared" si="10"/>
        <v>0</v>
      </c>
      <c r="T16" s="142">
        <f t="shared" si="10"/>
        <v>0</v>
      </c>
      <c r="U16" s="144"/>
      <c r="V16" s="144"/>
      <c r="W16" s="144"/>
      <c r="X16" s="144"/>
      <c r="Y16" s="142">
        <f t="shared" si="11"/>
        <v>0</v>
      </c>
      <c r="Z16" s="142">
        <f t="shared" si="11"/>
        <v>0</v>
      </c>
      <c r="AA16" s="144"/>
      <c r="AB16" s="144"/>
      <c r="AC16" s="144"/>
      <c r="AD16" s="144"/>
      <c r="AE16" s="142">
        <f t="shared" si="12"/>
        <v>0</v>
      </c>
      <c r="AF16" s="142">
        <f t="shared" si="12"/>
        <v>0</v>
      </c>
      <c r="AG16" s="144"/>
      <c r="AH16" s="144"/>
      <c r="AI16" s="144"/>
      <c r="AJ16" s="144"/>
    </row>
    <row r="17" spans="1:36">
      <c r="A17" s="136">
        <v>5</v>
      </c>
      <c r="B17" s="140" t="s">
        <v>247</v>
      </c>
      <c r="C17" s="141"/>
      <c r="D17" s="141"/>
      <c r="E17" s="141"/>
      <c r="F17" s="141"/>
      <c r="G17" s="142">
        <f t="shared" si="8"/>
        <v>0</v>
      </c>
      <c r="H17" s="142">
        <f t="shared" si="8"/>
        <v>0</v>
      </c>
      <c r="I17" s="143">
        <f t="shared" si="9"/>
        <v>0</v>
      </c>
      <c r="J17" s="143">
        <f t="shared" si="9"/>
        <v>0</v>
      </c>
      <c r="K17" s="144"/>
      <c r="L17" s="144"/>
      <c r="M17" s="144"/>
      <c r="N17" s="144"/>
      <c r="O17" s="144"/>
      <c r="P17" s="144"/>
      <c r="Q17" s="144"/>
      <c r="R17" s="144"/>
      <c r="S17" s="142">
        <f t="shared" si="10"/>
        <v>0</v>
      </c>
      <c r="T17" s="142">
        <f t="shared" si="10"/>
        <v>0</v>
      </c>
      <c r="U17" s="144"/>
      <c r="V17" s="144"/>
      <c r="W17" s="144"/>
      <c r="X17" s="144"/>
      <c r="Y17" s="142">
        <f t="shared" si="11"/>
        <v>0</v>
      </c>
      <c r="Z17" s="142">
        <f t="shared" si="11"/>
        <v>0</v>
      </c>
      <c r="AA17" s="144"/>
      <c r="AB17" s="144"/>
      <c r="AC17" s="144"/>
      <c r="AD17" s="144"/>
      <c r="AE17" s="142">
        <f t="shared" si="12"/>
        <v>0</v>
      </c>
      <c r="AF17" s="142">
        <f t="shared" si="12"/>
        <v>0</v>
      </c>
      <c r="AG17" s="144"/>
      <c r="AH17" s="144"/>
      <c r="AI17" s="144"/>
      <c r="AJ17" s="144"/>
    </row>
    <row r="18" spans="1:36">
      <c r="A18" s="136">
        <v>6</v>
      </c>
      <c r="B18" s="140" t="s">
        <v>248</v>
      </c>
      <c r="C18" s="141"/>
      <c r="D18" s="141"/>
      <c r="E18" s="141"/>
      <c r="F18" s="141"/>
      <c r="G18" s="142">
        <f t="shared" si="8"/>
        <v>0</v>
      </c>
      <c r="H18" s="142">
        <f t="shared" si="8"/>
        <v>0</v>
      </c>
      <c r="I18" s="143">
        <f t="shared" si="9"/>
        <v>0</v>
      </c>
      <c r="J18" s="143">
        <f t="shared" si="9"/>
        <v>0</v>
      </c>
      <c r="K18" s="144"/>
      <c r="L18" s="144"/>
      <c r="M18" s="144"/>
      <c r="N18" s="144"/>
      <c r="O18" s="144"/>
      <c r="P18" s="144"/>
      <c r="Q18" s="144"/>
      <c r="R18" s="144"/>
      <c r="S18" s="142">
        <f t="shared" si="10"/>
        <v>0</v>
      </c>
      <c r="T18" s="142">
        <f t="shared" si="10"/>
        <v>0</v>
      </c>
      <c r="U18" s="144"/>
      <c r="V18" s="144"/>
      <c r="W18" s="144"/>
      <c r="X18" s="144"/>
      <c r="Y18" s="142">
        <f>SUM(AA18+AC18)</f>
        <v>0</v>
      </c>
      <c r="Z18" s="142">
        <f t="shared" si="11"/>
        <v>0</v>
      </c>
      <c r="AA18" s="144"/>
      <c r="AB18" s="144"/>
      <c r="AC18" s="144"/>
      <c r="AD18" s="144"/>
      <c r="AE18" s="142">
        <f t="shared" si="12"/>
        <v>0</v>
      </c>
      <c r="AF18" s="142">
        <f t="shared" si="12"/>
        <v>0</v>
      </c>
      <c r="AG18" s="144"/>
      <c r="AH18" s="144"/>
      <c r="AI18" s="144"/>
      <c r="AJ18" s="144"/>
    </row>
    <row r="19" spans="1:36">
      <c r="A19" s="136">
        <v>7</v>
      </c>
      <c r="B19" s="140" t="s">
        <v>249</v>
      </c>
      <c r="C19" s="141"/>
      <c r="D19" s="141"/>
      <c r="E19" s="141"/>
      <c r="F19" s="141"/>
      <c r="G19" s="142">
        <f t="shared" si="8"/>
        <v>0</v>
      </c>
      <c r="H19" s="142">
        <f t="shared" si="8"/>
        <v>0</v>
      </c>
      <c r="I19" s="143">
        <f t="shared" si="9"/>
        <v>0</v>
      </c>
      <c r="J19" s="143">
        <f t="shared" si="9"/>
        <v>0</v>
      </c>
      <c r="K19" s="144"/>
      <c r="L19" s="144"/>
      <c r="M19" s="144"/>
      <c r="N19" s="144"/>
      <c r="O19" s="144"/>
      <c r="P19" s="144"/>
      <c r="Q19" s="144"/>
      <c r="R19" s="144"/>
      <c r="S19" s="142">
        <f t="shared" si="10"/>
        <v>0</v>
      </c>
      <c r="T19" s="142">
        <f t="shared" si="10"/>
        <v>0</v>
      </c>
      <c r="U19" s="144"/>
      <c r="V19" s="144"/>
      <c r="W19" s="144"/>
      <c r="X19" s="144"/>
      <c r="Y19" s="142">
        <f t="shared" si="11"/>
        <v>0</v>
      </c>
      <c r="Z19" s="142">
        <f t="shared" si="11"/>
        <v>0</v>
      </c>
      <c r="AA19" s="144"/>
      <c r="AB19" s="144"/>
      <c r="AC19" s="144"/>
      <c r="AD19" s="144"/>
      <c r="AE19" s="142">
        <f t="shared" si="12"/>
        <v>0</v>
      </c>
      <c r="AF19" s="142">
        <f t="shared" si="12"/>
        <v>0</v>
      </c>
      <c r="AG19" s="144"/>
      <c r="AH19" s="144"/>
      <c r="AI19" s="144"/>
      <c r="AJ19" s="144"/>
    </row>
    <row r="20" spans="1:36">
      <c r="A20" s="136">
        <v>8</v>
      </c>
      <c r="B20" s="140" t="s">
        <v>250</v>
      </c>
      <c r="C20" s="141"/>
      <c r="D20" s="141"/>
      <c r="E20" s="141"/>
      <c r="F20" s="141"/>
      <c r="G20" s="142">
        <f t="shared" si="8"/>
        <v>0</v>
      </c>
      <c r="H20" s="142">
        <f t="shared" si="8"/>
        <v>0</v>
      </c>
      <c r="I20" s="143">
        <f t="shared" si="9"/>
        <v>0</v>
      </c>
      <c r="J20" s="143">
        <f t="shared" si="9"/>
        <v>0</v>
      </c>
      <c r="K20" s="144"/>
      <c r="L20" s="144"/>
      <c r="M20" s="144"/>
      <c r="N20" s="144"/>
      <c r="O20" s="144"/>
      <c r="P20" s="144"/>
      <c r="Q20" s="144"/>
      <c r="R20" s="144"/>
      <c r="S20" s="142">
        <f t="shared" si="10"/>
        <v>0</v>
      </c>
      <c r="T20" s="142">
        <f t="shared" si="10"/>
        <v>0</v>
      </c>
      <c r="U20" s="144"/>
      <c r="V20" s="144"/>
      <c r="W20" s="144"/>
      <c r="X20" s="144"/>
      <c r="Y20" s="142">
        <f t="shared" si="11"/>
        <v>0</v>
      </c>
      <c r="Z20" s="142">
        <f t="shared" si="11"/>
        <v>0</v>
      </c>
      <c r="AA20" s="144"/>
      <c r="AB20" s="144"/>
      <c r="AC20" s="144"/>
      <c r="AD20" s="144"/>
      <c r="AE20" s="142">
        <f t="shared" si="12"/>
        <v>0</v>
      </c>
      <c r="AF20" s="142">
        <f t="shared" si="12"/>
        <v>0</v>
      </c>
      <c r="AG20" s="144"/>
      <c r="AH20" s="144"/>
      <c r="AI20" s="144"/>
      <c r="AJ20" s="144"/>
    </row>
    <row r="21" spans="1:36">
      <c r="A21" s="136">
        <v>9</v>
      </c>
      <c r="B21" s="140" t="s">
        <v>251</v>
      </c>
      <c r="C21" s="141"/>
      <c r="D21" s="141"/>
      <c r="E21" s="141"/>
      <c r="F21" s="141"/>
      <c r="G21" s="142">
        <f t="shared" si="8"/>
        <v>0</v>
      </c>
      <c r="H21" s="142">
        <f t="shared" si="8"/>
        <v>0</v>
      </c>
      <c r="I21" s="143">
        <f t="shared" si="9"/>
        <v>0</v>
      </c>
      <c r="J21" s="143">
        <f t="shared" si="9"/>
        <v>0</v>
      </c>
      <c r="K21" s="144"/>
      <c r="L21" s="144"/>
      <c r="M21" s="144"/>
      <c r="N21" s="144"/>
      <c r="O21" s="144"/>
      <c r="P21" s="144"/>
      <c r="Q21" s="144"/>
      <c r="R21" s="144"/>
      <c r="S21" s="142">
        <f t="shared" si="10"/>
        <v>0</v>
      </c>
      <c r="T21" s="142">
        <f t="shared" si="10"/>
        <v>0</v>
      </c>
      <c r="U21" s="144"/>
      <c r="V21" s="144"/>
      <c r="W21" s="144"/>
      <c r="X21" s="144"/>
      <c r="Y21" s="142">
        <f t="shared" si="11"/>
        <v>0</v>
      </c>
      <c r="Z21" s="142">
        <f t="shared" si="11"/>
        <v>0</v>
      </c>
      <c r="AA21" s="144"/>
      <c r="AB21" s="144"/>
      <c r="AC21" s="144"/>
      <c r="AD21" s="144"/>
      <c r="AE21" s="142">
        <f t="shared" si="12"/>
        <v>0</v>
      </c>
      <c r="AF21" s="142">
        <f t="shared" si="12"/>
        <v>0</v>
      </c>
      <c r="AG21" s="144"/>
      <c r="AH21" s="144"/>
      <c r="AI21" s="144"/>
      <c r="AJ21" s="144"/>
    </row>
    <row r="22" spans="1:36">
      <c r="A22" s="136">
        <v>10</v>
      </c>
      <c r="B22" s="140" t="s">
        <v>252</v>
      </c>
      <c r="C22" s="141"/>
      <c r="D22" s="141"/>
      <c r="E22" s="141"/>
      <c r="F22" s="141"/>
      <c r="G22" s="142">
        <f t="shared" si="8"/>
        <v>0</v>
      </c>
      <c r="H22" s="142">
        <f t="shared" si="8"/>
        <v>0</v>
      </c>
      <c r="I22" s="143">
        <f t="shared" si="9"/>
        <v>0</v>
      </c>
      <c r="J22" s="143">
        <f t="shared" si="9"/>
        <v>0</v>
      </c>
      <c r="K22" s="144"/>
      <c r="L22" s="144"/>
      <c r="M22" s="144"/>
      <c r="N22" s="144"/>
      <c r="O22" s="144"/>
      <c r="P22" s="144"/>
      <c r="Q22" s="144"/>
      <c r="R22" s="144"/>
      <c r="S22" s="142">
        <f t="shared" si="10"/>
        <v>0</v>
      </c>
      <c r="T22" s="142">
        <f t="shared" si="10"/>
        <v>0</v>
      </c>
      <c r="U22" s="144"/>
      <c r="V22" s="144"/>
      <c r="W22" s="144"/>
      <c r="X22" s="144"/>
      <c r="Y22" s="142">
        <f t="shared" si="11"/>
        <v>0</v>
      </c>
      <c r="Z22" s="142">
        <f t="shared" si="11"/>
        <v>0</v>
      </c>
      <c r="AA22" s="144"/>
      <c r="AB22" s="144"/>
      <c r="AC22" s="144"/>
      <c r="AD22" s="144"/>
      <c r="AE22" s="142">
        <f t="shared" si="12"/>
        <v>0</v>
      </c>
      <c r="AF22" s="142">
        <f t="shared" si="12"/>
        <v>0</v>
      </c>
      <c r="AG22" s="144"/>
      <c r="AH22" s="144"/>
      <c r="AI22" s="144"/>
      <c r="AJ22" s="144"/>
    </row>
    <row r="23" spans="1:36">
      <c r="A23" s="136">
        <v>11</v>
      </c>
      <c r="B23" s="140" t="s">
        <v>253</v>
      </c>
      <c r="C23" s="141"/>
      <c r="D23" s="141"/>
      <c r="E23" s="141"/>
      <c r="F23" s="141"/>
      <c r="G23" s="142">
        <f t="shared" si="8"/>
        <v>0</v>
      </c>
      <c r="H23" s="142">
        <f t="shared" si="8"/>
        <v>0</v>
      </c>
      <c r="I23" s="143">
        <f t="shared" si="9"/>
        <v>0</v>
      </c>
      <c r="J23" s="143">
        <f t="shared" si="9"/>
        <v>0</v>
      </c>
      <c r="K23" s="144"/>
      <c r="L23" s="144"/>
      <c r="M23" s="144"/>
      <c r="N23" s="144"/>
      <c r="O23" s="144"/>
      <c r="P23" s="144"/>
      <c r="Q23" s="144"/>
      <c r="R23" s="144"/>
      <c r="S23" s="142">
        <f t="shared" si="10"/>
        <v>0</v>
      </c>
      <c r="T23" s="142">
        <f t="shared" si="10"/>
        <v>0</v>
      </c>
      <c r="U23" s="144"/>
      <c r="V23" s="144"/>
      <c r="W23" s="144"/>
      <c r="X23" s="144"/>
      <c r="Y23" s="142">
        <f t="shared" si="11"/>
        <v>0</v>
      </c>
      <c r="Z23" s="142">
        <f t="shared" si="11"/>
        <v>0</v>
      </c>
      <c r="AA23" s="144"/>
      <c r="AB23" s="144"/>
      <c r="AC23" s="144"/>
      <c r="AD23" s="144"/>
      <c r="AE23" s="142">
        <f t="shared" si="12"/>
        <v>0</v>
      </c>
      <c r="AF23" s="142">
        <f t="shared" si="12"/>
        <v>0</v>
      </c>
      <c r="AG23" s="144"/>
      <c r="AH23" s="144"/>
      <c r="AI23" s="144"/>
      <c r="AJ23" s="144"/>
    </row>
    <row r="24" spans="1:36">
      <c r="A24" s="136">
        <v>12</v>
      </c>
      <c r="B24" s="140" t="s">
        <v>254</v>
      </c>
      <c r="C24" s="141"/>
      <c r="D24" s="141"/>
      <c r="E24" s="141"/>
      <c r="F24" s="141"/>
      <c r="G24" s="142">
        <f t="shared" si="8"/>
        <v>0</v>
      </c>
      <c r="H24" s="142">
        <f t="shared" si="8"/>
        <v>0</v>
      </c>
      <c r="I24" s="143">
        <f t="shared" si="9"/>
        <v>0</v>
      </c>
      <c r="J24" s="143">
        <f t="shared" si="9"/>
        <v>0</v>
      </c>
      <c r="K24" s="144"/>
      <c r="L24" s="144"/>
      <c r="M24" s="144"/>
      <c r="N24" s="144"/>
      <c r="O24" s="144"/>
      <c r="P24" s="144"/>
      <c r="Q24" s="144"/>
      <c r="R24" s="144"/>
      <c r="S24" s="142">
        <f t="shared" si="10"/>
        <v>0</v>
      </c>
      <c r="T24" s="142">
        <f t="shared" si="10"/>
        <v>0</v>
      </c>
      <c r="U24" s="144"/>
      <c r="V24" s="144"/>
      <c r="W24" s="144"/>
      <c r="X24" s="144"/>
      <c r="Y24" s="142">
        <f t="shared" si="11"/>
        <v>0</v>
      </c>
      <c r="Z24" s="142">
        <f t="shared" si="11"/>
        <v>0</v>
      </c>
      <c r="AA24" s="144"/>
      <c r="AB24" s="144"/>
      <c r="AC24" s="144"/>
      <c r="AD24" s="144"/>
      <c r="AE24" s="142">
        <f t="shared" si="12"/>
        <v>0</v>
      </c>
      <c r="AF24" s="142">
        <f t="shared" si="12"/>
        <v>0</v>
      </c>
      <c r="AG24" s="144"/>
      <c r="AH24" s="144"/>
      <c r="AI24" s="144"/>
      <c r="AJ24" s="144"/>
    </row>
    <row r="25" spans="1:36">
      <c r="A25" s="136">
        <v>13</v>
      </c>
      <c r="B25" s="140" t="s">
        <v>255</v>
      </c>
      <c r="C25" s="141"/>
      <c r="D25" s="141"/>
      <c r="E25" s="141"/>
      <c r="F25" s="141"/>
      <c r="G25" s="142">
        <f t="shared" si="8"/>
        <v>0</v>
      </c>
      <c r="H25" s="142">
        <f t="shared" si="8"/>
        <v>0</v>
      </c>
      <c r="I25" s="143">
        <f t="shared" si="9"/>
        <v>0</v>
      </c>
      <c r="J25" s="143">
        <f t="shared" si="9"/>
        <v>0</v>
      </c>
      <c r="K25" s="144"/>
      <c r="L25" s="144"/>
      <c r="M25" s="144"/>
      <c r="N25" s="144"/>
      <c r="O25" s="144"/>
      <c r="P25" s="144"/>
      <c r="Q25" s="144"/>
      <c r="R25" s="144"/>
      <c r="S25" s="142">
        <f t="shared" si="10"/>
        <v>0</v>
      </c>
      <c r="T25" s="142">
        <f t="shared" si="10"/>
        <v>0</v>
      </c>
      <c r="U25" s="144"/>
      <c r="V25" s="144"/>
      <c r="W25" s="144"/>
      <c r="X25" s="144"/>
      <c r="Y25" s="142">
        <f t="shared" si="11"/>
        <v>0</v>
      </c>
      <c r="Z25" s="142">
        <f t="shared" si="11"/>
        <v>0</v>
      </c>
      <c r="AA25" s="144"/>
      <c r="AB25" s="144"/>
      <c r="AC25" s="144"/>
      <c r="AD25" s="144"/>
      <c r="AE25" s="142">
        <f t="shared" si="12"/>
        <v>0</v>
      </c>
      <c r="AF25" s="142">
        <f t="shared" si="12"/>
        <v>0</v>
      </c>
      <c r="AG25" s="144"/>
      <c r="AH25" s="144"/>
      <c r="AI25" s="144"/>
      <c r="AJ25" s="144"/>
    </row>
    <row r="26" spans="1:36">
      <c r="A26" s="136">
        <v>14</v>
      </c>
      <c r="B26" s="140" t="s">
        <v>256</v>
      </c>
      <c r="C26" s="141"/>
      <c r="D26" s="141"/>
      <c r="E26" s="141"/>
      <c r="F26" s="141"/>
      <c r="G26" s="142">
        <f t="shared" si="8"/>
        <v>0</v>
      </c>
      <c r="H26" s="142">
        <f t="shared" si="8"/>
        <v>0</v>
      </c>
      <c r="I26" s="143">
        <f t="shared" si="9"/>
        <v>0</v>
      </c>
      <c r="J26" s="143">
        <f t="shared" si="9"/>
        <v>0</v>
      </c>
      <c r="K26" s="144"/>
      <c r="L26" s="144"/>
      <c r="M26" s="144"/>
      <c r="N26" s="144"/>
      <c r="O26" s="144"/>
      <c r="P26" s="144"/>
      <c r="Q26" s="144"/>
      <c r="R26" s="144"/>
      <c r="S26" s="142">
        <f t="shared" si="10"/>
        <v>0</v>
      </c>
      <c r="T26" s="142">
        <f t="shared" si="10"/>
        <v>0</v>
      </c>
      <c r="U26" s="144"/>
      <c r="V26" s="144"/>
      <c r="W26" s="144"/>
      <c r="X26" s="144"/>
      <c r="Y26" s="142">
        <f t="shared" si="11"/>
        <v>0</v>
      </c>
      <c r="Z26" s="142">
        <f t="shared" si="11"/>
        <v>0</v>
      </c>
      <c r="AA26" s="144"/>
      <c r="AB26" s="144"/>
      <c r="AC26" s="144"/>
      <c r="AD26" s="144"/>
      <c r="AE26" s="142">
        <f t="shared" si="12"/>
        <v>0</v>
      </c>
      <c r="AF26" s="142">
        <f t="shared" si="12"/>
        <v>0</v>
      </c>
      <c r="AG26" s="144"/>
      <c r="AH26" s="144"/>
      <c r="AI26" s="144"/>
      <c r="AJ26" s="144"/>
    </row>
    <row r="27" spans="1:36">
      <c r="A27" s="136">
        <v>15</v>
      </c>
      <c r="B27" s="140" t="s">
        <v>257</v>
      </c>
      <c r="C27" s="141"/>
      <c r="D27" s="141"/>
      <c r="E27" s="141"/>
      <c r="F27" s="141"/>
      <c r="G27" s="142">
        <f t="shared" si="8"/>
        <v>0</v>
      </c>
      <c r="H27" s="142">
        <f t="shared" si="8"/>
        <v>0</v>
      </c>
      <c r="I27" s="143">
        <f t="shared" si="9"/>
        <v>0</v>
      </c>
      <c r="J27" s="143">
        <f t="shared" si="9"/>
        <v>0</v>
      </c>
      <c r="K27" s="144"/>
      <c r="L27" s="144"/>
      <c r="M27" s="144"/>
      <c r="N27" s="144"/>
      <c r="O27" s="144"/>
      <c r="P27" s="144"/>
      <c r="Q27" s="144"/>
      <c r="R27" s="144"/>
      <c r="S27" s="142">
        <f t="shared" si="10"/>
        <v>0</v>
      </c>
      <c r="T27" s="142">
        <f t="shared" si="10"/>
        <v>0</v>
      </c>
      <c r="U27" s="144"/>
      <c r="V27" s="144"/>
      <c r="W27" s="144"/>
      <c r="X27" s="144"/>
      <c r="Y27" s="142">
        <f t="shared" si="11"/>
        <v>0</v>
      </c>
      <c r="Z27" s="142">
        <f t="shared" si="11"/>
        <v>0</v>
      </c>
      <c r="AA27" s="144"/>
      <c r="AB27" s="144"/>
      <c r="AC27" s="144"/>
      <c r="AD27" s="144"/>
      <c r="AE27" s="142">
        <f t="shared" si="12"/>
        <v>0</v>
      </c>
      <c r="AF27" s="142">
        <f t="shared" si="12"/>
        <v>0</v>
      </c>
      <c r="AG27" s="144"/>
      <c r="AH27" s="144"/>
      <c r="AI27" s="144"/>
      <c r="AJ27" s="144"/>
    </row>
    <row r="28" spans="1:36">
      <c r="A28" s="136">
        <v>16</v>
      </c>
      <c r="B28" s="140" t="s">
        <v>258</v>
      </c>
      <c r="C28" s="141"/>
      <c r="D28" s="141"/>
      <c r="E28" s="141"/>
      <c r="F28" s="141"/>
      <c r="G28" s="142">
        <f t="shared" si="8"/>
        <v>0</v>
      </c>
      <c r="H28" s="142">
        <f t="shared" si="8"/>
        <v>0</v>
      </c>
      <c r="I28" s="143">
        <f t="shared" si="9"/>
        <v>0</v>
      </c>
      <c r="J28" s="143">
        <f t="shared" si="9"/>
        <v>0</v>
      </c>
      <c r="K28" s="144"/>
      <c r="L28" s="144"/>
      <c r="M28" s="144"/>
      <c r="N28" s="144"/>
      <c r="O28" s="144"/>
      <c r="P28" s="144"/>
      <c r="Q28" s="144"/>
      <c r="R28" s="144"/>
      <c r="S28" s="142">
        <f t="shared" si="10"/>
        <v>0</v>
      </c>
      <c r="T28" s="142">
        <f t="shared" si="10"/>
        <v>0</v>
      </c>
      <c r="U28" s="144"/>
      <c r="V28" s="144"/>
      <c r="W28" s="144"/>
      <c r="X28" s="144"/>
      <c r="Y28" s="142">
        <f t="shared" si="11"/>
        <v>0</v>
      </c>
      <c r="Z28" s="142">
        <f t="shared" si="11"/>
        <v>0</v>
      </c>
      <c r="AA28" s="144"/>
      <c r="AB28" s="144"/>
      <c r="AC28" s="144"/>
      <c r="AD28" s="144"/>
      <c r="AE28" s="142">
        <f t="shared" si="12"/>
        <v>0</v>
      </c>
      <c r="AF28" s="142">
        <f t="shared" si="12"/>
        <v>0</v>
      </c>
      <c r="AG28" s="144"/>
      <c r="AH28" s="144"/>
      <c r="AI28" s="144"/>
      <c r="AJ28" s="144"/>
    </row>
    <row r="29" spans="1:36">
      <c r="A29" s="136">
        <v>17</v>
      </c>
      <c r="B29" s="140" t="s">
        <v>259</v>
      </c>
      <c r="C29" s="141"/>
      <c r="D29" s="141"/>
      <c r="E29" s="141"/>
      <c r="F29" s="141"/>
      <c r="G29" s="142">
        <f t="shared" si="8"/>
        <v>0</v>
      </c>
      <c r="H29" s="142">
        <f t="shared" si="8"/>
        <v>0</v>
      </c>
      <c r="I29" s="143">
        <f t="shared" si="9"/>
        <v>0</v>
      </c>
      <c r="J29" s="143">
        <f t="shared" si="9"/>
        <v>0</v>
      </c>
      <c r="K29" s="144"/>
      <c r="L29" s="144"/>
      <c r="M29" s="144"/>
      <c r="N29" s="144"/>
      <c r="O29" s="144"/>
      <c r="P29" s="144"/>
      <c r="Q29" s="144"/>
      <c r="R29" s="144"/>
      <c r="S29" s="142">
        <f t="shared" si="10"/>
        <v>0</v>
      </c>
      <c r="T29" s="142">
        <f t="shared" si="10"/>
        <v>0</v>
      </c>
      <c r="U29" s="144"/>
      <c r="V29" s="144"/>
      <c r="W29" s="144"/>
      <c r="X29" s="144"/>
      <c r="Y29" s="142">
        <f t="shared" si="11"/>
        <v>0</v>
      </c>
      <c r="Z29" s="142">
        <f t="shared" si="11"/>
        <v>0</v>
      </c>
      <c r="AA29" s="144"/>
      <c r="AB29" s="144"/>
      <c r="AC29" s="144"/>
      <c r="AD29" s="144"/>
      <c r="AE29" s="142">
        <f t="shared" si="12"/>
        <v>0</v>
      </c>
      <c r="AF29" s="142">
        <f t="shared" si="12"/>
        <v>0</v>
      </c>
      <c r="AG29" s="144"/>
      <c r="AH29" s="144"/>
      <c r="AI29" s="144"/>
      <c r="AJ29" s="144"/>
    </row>
    <row r="30" spans="1:36">
      <c r="A30" s="136">
        <v>18</v>
      </c>
      <c r="B30" s="140" t="s">
        <v>260</v>
      </c>
      <c r="C30" s="141"/>
      <c r="D30" s="141"/>
      <c r="E30" s="141"/>
      <c r="F30" s="141"/>
      <c r="G30" s="142">
        <f t="shared" si="8"/>
        <v>0</v>
      </c>
      <c r="H30" s="142">
        <f t="shared" si="8"/>
        <v>0</v>
      </c>
      <c r="I30" s="143">
        <f t="shared" si="9"/>
        <v>0</v>
      </c>
      <c r="J30" s="143">
        <f t="shared" si="9"/>
        <v>0</v>
      </c>
      <c r="K30" s="144"/>
      <c r="L30" s="144"/>
      <c r="M30" s="144"/>
      <c r="N30" s="144"/>
      <c r="O30" s="144"/>
      <c r="P30" s="144"/>
      <c r="Q30" s="144"/>
      <c r="R30" s="144"/>
      <c r="S30" s="142">
        <f t="shared" si="10"/>
        <v>0</v>
      </c>
      <c r="T30" s="142">
        <f t="shared" si="10"/>
        <v>0</v>
      </c>
      <c r="U30" s="144"/>
      <c r="V30" s="144"/>
      <c r="W30" s="144"/>
      <c r="X30" s="144"/>
      <c r="Y30" s="142">
        <f t="shared" si="11"/>
        <v>0</v>
      </c>
      <c r="Z30" s="142">
        <f t="shared" si="11"/>
        <v>0</v>
      </c>
      <c r="AA30" s="144"/>
      <c r="AB30" s="144"/>
      <c r="AC30" s="144"/>
      <c r="AD30" s="144"/>
      <c r="AE30" s="142">
        <f t="shared" si="12"/>
        <v>0</v>
      </c>
      <c r="AF30" s="142">
        <f t="shared" si="12"/>
        <v>0</v>
      </c>
      <c r="AG30" s="144"/>
      <c r="AH30" s="144"/>
      <c r="AI30" s="144"/>
      <c r="AJ30" s="144"/>
    </row>
    <row r="31" spans="1:36">
      <c r="A31" s="136">
        <v>19</v>
      </c>
      <c r="B31" s="140" t="s">
        <v>261</v>
      </c>
      <c r="C31" s="141"/>
      <c r="D31" s="141"/>
      <c r="E31" s="141"/>
      <c r="F31" s="141"/>
      <c r="G31" s="142">
        <f t="shared" si="8"/>
        <v>0</v>
      </c>
      <c r="H31" s="142">
        <f t="shared" si="8"/>
        <v>0</v>
      </c>
      <c r="I31" s="143">
        <f t="shared" si="9"/>
        <v>0</v>
      </c>
      <c r="J31" s="143">
        <f t="shared" si="9"/>
        <v>0</v>
      </c>
      <c r="K31" s="144"/>
      <c r="L31" s="144"/>
      <c r="M31" s="144"/>
      <c r="N31" s="144"/>
      <c r="O31" s="144"/>
      <c r="P31" s="144"/>
      <c r="Q31" s="144"/>
      <c r="R31" s="144"/>
      <c r="S31" s="142">
        <f t="shared" si="10"/>
        <v>0</v>
      </c>
      <c r="T31" s="142">
        <f t="shared" si="10"/>
        <v>0</v>
      </c>
      <c r="U31" s="144"/>
      <c r="V31" s="144"/>
      <c r="W31" s="144"/>
      <c r="X31" s="144"/>
      <c r="Y31" s="142">
        <f t="shared" si="11"/>
        <v>0</v>
      </c>
      <c r="Z31" s="142">
        <f t="shared" si="11"/>
        <v>0</v>
      </c>
      <c r="AA31" s="144"/>
      <c r="AB31" s="144"/>
      <c r="AC31" s="144"/>
      <c r="AD31" s="144"/>
      <c r="AE31" s="142">
        <f t="shared" si="12"/>
        <v>0</v>
      </c>
      <c r="AF31" s="142">
        <f t="shared" si="12"/>
        <v>0</v>
      </c>
      <c r="AG31" s="144"/>
      <c r="AH31" s="144"/>
      <c r="AI31" s="144"/>
      <c r="AJ31" s="144"/>
    </row>
    <row r="32" spans="1:36">
      <c r="A32" s="136">
        <v>20</v>
      </c>
      <c r="B32" s="140" t="s">
        <v>262</v>
      </c>
      <c r="C32" s="141"/>
      <c r="D32" s="141"/>
      <c r="E32" s="141"/>
      <c r="F32" s="141"/>
      <c r="G32" s="142">
        <f t="shared" si="8"/>
        <v>0</v>
      </c>
      <c r="H32" s="142">
        <f t="shared" si="8"/>
        <v>0</v>
      </c>
      <c r="I32" s="143">
        <f t="shared" si="9"/>
        <v>0</v>
      </c>
      <c r="J32" s="143">
        <f t="shared" si="9"/>
        <v>0</v>
      </c>
      <c r="K32" s="144"/>
      <c r="L32" s="144"/>
      <c r="M32" s="144"/>
      <c r="N32" s="144"/>
      <c r="O32" s="144"/>
      <c r="P32" s="144"/>
      <c r="Q32" s="144"/>
      <c r="R32" s="144"/>
      <c r="S32" s="142">
        <f t="shared" si="10"/>
        <v>0</v>
      </c>
      <c r="T32" s="142">
        <f t="shared" si="10"/>
        <v>0</v>
      </c>
      <c r="U32" s="144"/>
      <c r="V32" s="144"/>
      <c r="W32" s="144"/>
      <c r="X32" s="144"/>
      <c r="Y32" s="142">
        <f t="shared" si="11"/>
        <v>0</v>
      </c>
      <c r="Z32" s="142">
        <f t="shared" si="11"/>
        <v>0</v>
      </c>
      <c r="AA32" s="144"/>
      <c r="AB32" s="144"/>
      <c r="AC32" s="144"/>
      <c r="AD32" s="144"/>
      <c r="AE32" s="142">
        <f t="shared" si="12"/>
        <v>0</v>
      </c>
      <c r="AF32" s="142">
        <f t="shared" si="12"/>
        <v>0</v>
      </c>
      <c r="AG32" s="144"/>
      <c r="AH32" s="144"/>
      <c r="AI32" s="144"/>
      <c r="AJ32" s="144"/>
    </row>
    <row r="33" spans="1:39">
      <c r="A33" s="136">
        <v>21</v>
      </c>
      <c r="B33" s="140" t="s">
        <v>263</v>
      </c>
      <c r="C33" s="141"/>
      <c r="D33" s="141"/>
      <c r="E33" s="141"/>
      <c r="F33" s="141"/>
      <c r="G33" s="142">
        <f t="shared" si="8"/>
        <v>0</v>
      </c>
      <c r="H33" s="142">
        <f t="shared" si="8"/>
        <v>0</v>
      </c>
      <c r="I33" s="143">
        <f t="shared" si="9"/>
        <v>0</v>
      </c>
      <c r="J33" s="143">
        <f t="shared" si="9"/>
        <v>0</v>
      </c>
      <c r="K33" s="144"/>
      <c r="L33" s="144"/>
      <c r="M33" s="144"/>
      <c r="N33" s="144"/>
      <c r="O33" s="144"/>
      <c r="P33" s="144"/>
      <c r="Q33" s="144"/>
      <c r="R33" s="144"/>
      <c r="S33" s="142">
        <f t="shared" si="10"/>
        <v>0</v>
      </c>
      <c r="T33" s="142">
        <f t="shared" si="10"/>
        <v>0</v>
      </c>
      <c r="U33" s="144"/>
      <c r="V33" s="144"/>
      <c r="W33" s="144"/>
      <c r="X33" s="144"/>
      <c r="Y33" s="142">
        <f t="shared" si="11"/>
        <v>0</v>
      </c>
      <c r="Z33" s="142">
        <f t="shared" si="11"/>
        <v>0</v>
      </c>
      <c r="AA33" s="144"/>
      <c r="AB33" s="144"/>
      <c r="AC33" s="144"/>
      <c r="AD33" s="144"/>
      <c r="AE33" s="142">
        <f t="shared" si="12"/>
        <v>0</v>
      </c>
      <c r="AF33" s="142">
        <f t="shared" si="12"/>
        <v>0</v>
      </c>
      <c r="AG33" s="144"/>
      <c r="AH33" s="144"/>
      <c r="AI33" s="144"/>
      <c r="AJ33" s="144"/>
    </row>
    <row r="34" spans="1:39">
      <c r="A34" s="136">
        <v>22</v>
      </c>
      <c r="B34" s="140" t="s">
        <v>264</v>
      </c>
      <c r="C34" s="141"/>
      <c r="D34" s="141"/>
      <c r="E34" s="141"/>
      <c r="F34" s="141"/>
      <c r="G34" s="142">
        <f t="shared" si="8"/>
        <v>0</v>
      </c>
      <c r="H34" s="142">
        <f t="shared" si="8"/>
        <v>0</v>
      </c>
      <c r="I34" s="143">
        <f t="shared" si="9"/>
        <v>0</v>
      </c>
      <c r="J34" s="143">
        <f t="shared" si="9"/>
        <v>0</v>
      </c>
      <c r="K34" s="144"/>
      <c r="L34" s="144"/>
      <c r="M34" s="144"/>
      <c r="N34" s="144"/>
      <c r="O34" s="144"/>
      <c r="P34" s="144"/>
      <c r="Q34" s="144"/>
      <c r="R34" s="144"/>
      <c r="S34" s="142">
        <f t="shared" si="10"/>
        <v>0</v>
      </c>
      <c r="T34" s="142">
        <f t="shared" si="10"/>
        <v>0</v>
      </c>
      <c r="U34" s="144"/>
      <c r="V34" s="144"/>
      <c r="W34" s="144"/>
      <c r="X34" s="144"/>
      <c r="Y34" s="142">
        <f t="shared" si="11"/>
        <v>0</v>
      </c>
      <c r="Z34" s="142">
        <f t="shared" si="11"/>
        <v>0</v>
      </c>
      <c r="AA34" s="144"/>
      <c r="AB34" s="144"/>
      <c r="AC34" s="144"/>
      <c r="AD34" s="144"/>
      <c r="AE34" s="142">
        <f t="shared" si="12"/>
        <v>0</v>
      </c>
      <c r="AF34" s="142">
        <f t="shared" si="12"/>
        <v>0</v>
      </c>
      <c r="AG34" s="144"/>
      <c r="AH34" s="144"/>
      <c r="AI34" s="144"/>
      <c r="AJ34" s="144"/>
    </row>
    <row r="35" spans="1:39">
      <c r="A35" s="136">
        <v>23</v>
      </c>
      <c r="B35" s="140" t="s">
        <v>265</v>
      </c>
      <c r="C35" s="141"/>
      <c r="D35" s="141"/>
      <c r="E35" s="141"/>
      <c r="F35" s="141"/>
      <c r="G35" s="142">
        <f t="shared" si="8"/>
        <v>0</v>
      </c>
      <c r="H35" s="142">
        <f t="shared" si="8"/>
        <v>0</v>
      </c>
      <c r="I35" s="143">
        <f t="shared" si="9"/>
        <v>0</v>
      </c>
      <c r="J35" s="143">
        <f>L35+N35+P35+R35</f>
        <v>0</v>
      </c>
      <c r="K35" s="144"/>
      <c r="L35" s="144"/>
      <c r="M35" s="144"/>
      <c r="N35" s="144"/>
      <c r="O35" s="144"/>
      <c r="P35" s="144"/>
      <c r="Q35" s="144"/>
      <c r="R35" s="144"/>
      <c r="S35" s="142">
        <f t="shared" si="10"/>
        <v>0</v>
      </c>
      <c r="T35" s="142">
        <f t="shared" si="10"/>
        <v>0</v>
      </c>
      <c r="U35" s="144"/>
      <c r="V35" s="144"/>
      <c r="W35" s="144"/>
      <c r="X35" s="144"/>
      <c r="Y35" s="142">
        <f t="shared" si="11"/>
        <v>0</v>
      </c>
      <c r="Z35" s="142">
        <f t="shared" si="11"/>
        <v>0</v>
      </c>
      <c r="AA35" s="144"/>
      <c r="AB35" s="144"/>
      <c r="AC35" s="144"/>
      <c r="AD35" s="144"/>
      <c r="AE35" s="142">
        <f t="shared" si="12"/>
        <v>0</v>
      </c>
      <c r="AF35" s="142">
        <f t="shared" si="12"/>
        <v>0</v>
      </c>
      <c r="AG35" s="144"/>
      <c r="AH35" s="144"/>
      <c r="AI35" s="144"/>
      <c r="AJ35" s="144"/>
    </row>
    <row r="42" spans="1:39">
      <c r="G42" s="117"/>
      <c r="H42" s="118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</row>
    <row r="43" spans="1:39">
      <c r="G43" s="117"/>
      <c r="H43" s="118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M43" s="117"/>
    </row>
    <row r="44" spans="1:39">
      <c r="G44" s="117"/>
      <c r="H44" s="118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M44" s="117"/>
    </row>
    <row r="45" spans="1:39">
      <c r="G45" s="117"/>
      <c r="H45" s="118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M45" s="117"/>
    </row>
    <row r="46" spans="1:39">
      <c r="G46" s="117"/>
      <c r="H46" s="118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M46" s="117"/>
    </row>
    <row r="47" spans="1:39">
      <c r="G47" s="117"/>
      <c r="H47" s="118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M47" s="117"/>
    </row>
    <row r="48" spans="1:39">
      <c r="G48" s="117"/>
      <c r="H48" s="118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M48" s="117"/>
    </row>
    <row r="49" spans="7:39">
      <c r="G49" s="117"/>
      <c r="H49" s="118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M49" s="117"/>
    </row>
    <row r="50" spans="7:39">
      <c r="G50" s="117"/>
      <c r="H50" s="118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M50" s="117"/>
    </row>
    <row r="51" spans="7:39">
      <c r="G51" s="117"/>
      <c r="H51" s="118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M51" s="117"/>
    </row>
    <row r="52" spans="7:39">
      <c r="G52" s="117"/>
      <c r="H52" s="118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M52" s="117"/>
    </row>
    <row r="53" spans="7:39">
      <c r="G53" s="117"/>
      <c r="H53" s="118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M53" s="117"/>
    </row>
    <row r="54" spans="7:39">
      <c r="G54" s="117"/>
      <c r="H54" s="118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M54" s="117"/>
    </row>
    <row r="55" spans="7:39">
      <c r="G55" s="117"/>
      <c r="H55" s="118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M55" s="117"/>
    </row>
    <row r="56" spans="7:39">
      <c r="G56" s="117"/>
      <c r="H56" s="118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M56" s="117"/>
    </row>
    <row r="57" spans="7:39">
      <c r="G57" s="117"/>
      <c r="H57" s="118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M57" s="117"/>
    </row>
    <row r="58" spans="7:39">
      <c r="G58" s="117"/>
      <c r="H58" s="118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M58" s="117"/>
    </row>
    <row r="59" spans="7:39">
      <c r="G59" s="117"/>
      <c r="H59" s="118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M59" s="117"/>
    </row>
    <row r="60" spans="7:39">
      <c r="G60" s="117"/>
      <c r="H60" s="118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M60" s="117"/>
    </row>
    <row r="61" spans="7:39">
      <c r="G61" s="117"/>
      <c r="H61" s="118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M61" s="117"/>
    </row>
    <row r="62" spans="7:39">
      <c r="G62" s="117"/>
      <c r="H62" s="118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M62" s="117"/>
    </row>
    <row r="63" spans="7:39">
      <c r="G63" s="117"/>
      <c r="H63" s="118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M63" s="117"/>
    </row>
    <row r="64" spans="7:39">
      <c r="G64" s="117"/>
      <c r="H64" s="118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M64" s="117"/>
    </row>
    <row r="65" spans="7:39">
      <c r="G65" s="117"/>
      <c r="H65" s="118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M65" s="117"/>
    </row>
    <row r="66" spans="7:39">
      <c r="G66" s="117"/>
      <c r="H66" s="118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M66" s="117"/>
    </row>
    <row r="67" spans="7:39">
      <c r="G67" s="117"/>
      <c r="H67" s="118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M67" s="117"/>
    </row>
    <row r="68" spans="7:39">
      <c r="G68" s="117"/>
      <c r="H68" s="118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M68" s="117"/>
    </row>
    <row r="69" spans="7:39">
      <c r="AM69" s="117"/>
    </row>
  </sheetData>
  <mergeCells count="31">
    <mergeCell ref="AC8:AD8"/>
    <mergeCell ref="AE8:AF8"/>
    <mergeCell ref="AG8:AH8"/>
    <mergeCell ref="AI8:AJ8"/>
    <mergeCell ref="Y7:AD7"/>
    <mergeCell ref="AE7:AJ7"/>
    <mergeCell ref="Y8:Z8"/>
    <mergeCell ref="AA8:AB8"/>
    <mergeCell ref="S7:X7"/>
    <mergeCell ref="S8:T8"/>
    <mergeCell ref="U8:V8"/>
    <mergeCell ref="W8:X8"/>
    <mergeCell ref="C8:C9"/>
    <mergeCell ref="D8:D9"/>
    <mergeCell ref="E8:E9"/>
    <mergeCell ref="I8:J8"/>
    <mergeCell ref="K8:L8"/>
    <mergeCell ref="A7:A9"/>
    <mergeCell ref="B7:B9"/>
    <mergeCell ref="C7:F7"/>
    <mergeCell ref="G7:H8"/>
    <mergeCell ref="I7:R7"/>
    <mergeCell ref="M8:N8"/>
    <mergeCell ref="O8:P8"/>
    <mergeCell ref="Q8:R8"/>
    <mergeCell ref="A6:AJ6"/>
    <mergeCell ref="A1:AJ1"/>
    <mergeCell ref="A2:AJ2"/>
    <mergeCell ref="A3:AJ3"/>
    <mergeCell ref="A4:AJ4"/>
    <mergeCell ref="A5:AJ5"/>
  </mergeCells>
  <pageMargins left="0.2" right="0.2" top="0.74803149606299213" bottom="0.74803149606299213" header="0.31496062992125984" footer="0.31496062992125984"/>
  <pageSetup paperSize="9" scale="2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888CD-C70F-4C03-931C-5EF18C56D90B}">
  <sheetPr>
    <tabColor rgb="FFFF99FF"/>
  </sheetPr>
  <dimension ref="A1:FP150"/>
  <sheetViews>
    <sheetView tabSelected="1" view="pageBreakPreview" zoomScale="106" zoomScaleNormal="82" zoomScaleSheetLayoutView="106" zoomScalePageLayoutView="85" workbookViewId="0">
      <pane xSplit="6" ySplit="10" topLeftCell="AC11" activePane="bottomRight" state="frozen"/>
      <selection pane="topRight" activeCell="G1" sqref="G1"/>
      <selection pane="bottomLeft" activeCell="A11" sqref="A11"/>
      <selection pane="bottomRight" activeCell="AH10" sqref="AH10"/>
    </sheetView>
  </sheetViews>
  <sheetFormatPr defaultColWidth="9.125" defaultRowHeight="27.75"/>
  <cols>
    <col min="1" max="1" width="7.75" style="108" customWidth="1"/>
    <col min="2" max="2" width="73.125" style="108" customWidth="1"/>
    <col min="3" max="3" width="5.625" style="109" customWidth="1"/>
    <col min="4" max="7" width="16.625" style="110" customWidth="1"/>
    <col min="8" max="8" width="16.625" style="111" customWidth="1"/>
    <col min="9" max="9" width="15.125" style="111" customWidth="1"/>
    <col min="10" max="10" width="14.375" style="111" customWidth="1"/>
    <col min="11" max="11" width="15.875" style="116" customWidth="1"/>
    <col min="12" max="12" width="16.625" style="111" customWidth="1"/>
    <col min="13" max="13" width="15.625" style="116" customWidth="1"/>
    <col min="14" max="14" width="16.625" style="116" customWidth="1"/>
    <col min="15" max="15" width="15.5" style="116" customWidth="1"/>
    <col min="16" max="16" width="16.625" style="116" customWidth="1"/>
    <col min="17" max="17" width="16.25" style="111" customWidth="1"/>
    <col min="18" max="19" width="15.5" style="116" customWidth="1"/>
    <col min="20" max="20" width="15.25" style="116" customWidth="1"/>
    <col min="21" max="21" width="15.5" style="116" customWidth="1"/>
    <col min="22" max="22" width="16.25" style="116" customWidth="1"/>
    <col min="23" max="23" width="14.75" style="116" customWidth="1"/>
    <col min="24" max="24" width="14" style="116" bestFit="1" customWidth="1"/>
    <col min="25" max="25" width="13" style="116" customWidth="1"/>
    <col min="26" max="26" width="5.625" style="116" customWidth="1"/>
    <col min="27" max="27" width="14.75" style="116" customWidth="1"/>
    <col min="28" max="28" width="13.5" style="116" customWidth="1"/>
    <col min="29" max="29" width="14.75" style="116" customWidth="1"/>
    <col min="30" max="30" width="13.125" style="116" customWidth="1"/>
    <col min="31" max="31" width="14.25" style="114" customWidth="1"/>
    <col min="32" max="32" width="5.75" style="114" customWidth="1"/>
    <col min="33" max="33" width="14.75" style="114" customWidth="1"/>
    <col min="34" max="34" width="14.375" style="114" customWidth="1"/>
    <col min="35" max="35" width="9.25" style="114" bestFit="1" customWidth="1"/>
    <col min="36" max="38" width="9.125" style="114"/>
    <col min="39" max="39" width="9.25" style="114" bestFit="1" customWidth="1"/>
    <col min="40" max="40" width="9.125" style="114"/>
    <col min="41" max="42" width="9.25" style="114" bestFit="1" customWidth="1"/>
    <col min="43" max="43" width="9.125" style="114"/>
    <col min="44" max="47" width="9.25" style="114" bestFit="1" customWidth="1"/>
    <col min="48" max="48" width="9.125" style="114"/>
    <col min="49" max="51" width="9.25" style="114" bestFit="1" customWidth="1"/>
    <col min="52" max="16384" width="9.125" style="114"/>
  </cols>
  <sheetData>
    <row r="1" spans="1:172" s="3" customFormat="1" ht="31.5">
      <c r="A1" s="349" t="s">
        <v>268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</row>
    <row r="2" spans="1:172" s="3" customFormat="1" ht="31.5">
      <c r="A2" s="349" t="s">
        <v>287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</row>
    <row r="3" spans="1:172" s="3" customFormat="1" ht="3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2"/>
      <c r="AF3" s="2"/>
    </row>
    <row r="4" spans="1:172" s="3" customFormat="1" ht="33">
      <c r="A4" s="147" t="s">
        <v>269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2"/>
      <c r="AF4" s="2"/>
    </row>
    <row r="5" spans="1:172" s="3" customFormat="1" ht="33">
      <c r="A5" s="147" t="s">
        <v>221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2"/>
      <c r="AF5" s="2"/>
    </row>
    <row r="6" spans="1:172" s="3" customFormat="1" ht="36">
      <c r="A6" s="4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5"/>
      <c r="V6" s="1"/>
      <c r="W6" s="1"/>
      <c r="X6" s="1"/>
      <c r="Y6" s="1"/>
      <c r="Z6" s="1"/>
      <c r="AA6" s="1"/>
      <c r="AB6" s="1"/>
      <c r="AC6" s="1"/>
      <c r="AD6" s="1"/>
      <c r="AE6" s="2"/>
      <c r="AF6" s="2"/>
    </row>
    <row r="7" spans="1:172" s="6" customFormat="1" ht="26.25" customHeight="1">
      <c r="A7" s="350" t="s">
        <v>0</v>
      </c>
      <c r="B7" s="351"/>
      <c r="C7" s="356" t="s">
        <v>1</v>
      </c>
      <c r="D7" s="358" t="s">
        <v>5</v>
      </c>
      <c r="E7" s="358"/>
      <c r="F7" s="358"/>
      <c r="G7" s="359" t="s">
        <v>226</v>
      </c>
      <c r="H7" s="360"/>
      <c r="I7" s="360"/>
      <c r="J7" s="360"/>
      <c r="K7" s="360"/>
      <c r="L7" s="360"/>
      <c r="M7" s="360"/>
      <c r="N7" s="360"/>
      <c r="O7" s="360"/>
      <c r="P7" s="361"/>
      <c r="Q7" s="362" t="s">
        <v>2</v>
      </c>
      <c r="R7" s="363"/>
      <c r="S7" s="363"/>
      <c r="T7" s="363"/>
      <c r="U7" s="363"/>
      <c r="V7" s="364"/>
      <c r="W7" s="365" t="s">
        <v>3</v>
      </c>
      <c r="X7" s="366"/>
      <c r="Y7" s="366"/>
      <c r="Z7" s="366"/>
      <c r="AA7" s="366"/>
      <c r="AB7" s="148"/>
      <c r="AC7" s="367" t="s">
        <v>4</v>
      </c>
      <c r="AD7" s="368"/>
      <c r="AE7" s="368"/>
      <c r="AF7" s="368"/>
      <c r="AG7" s="368"/>
      <c r="AH7" s="369"/>
    </row>
    <row r="8" spans="1:172" s="7" customFormat="1" ht="48" customHeight="1">
      <c r="A8" s="352"/>
      <c r="B8" s="353"/>
      <c r="C8" s="357"/>
      <c r="D8" s="347" t="s">
        <v>266</v>
      </c>
      <c r="E8" s="347" t="s">
        <v>267</v>
      </c>
      <c r="F8" s="347" t="s">
        <v>240</v>
      </c>
      <c r="G8" s="348" t="s">
        <v>5</v>
      </c>
      <c r="H8" s="348"/>
      <c r="I8" s="345" t="s">
        <v>231</v>
      </c>
      <c r="J8" s="345"/>
      <c r="K8" s="345" t="s">
        <v>232</v>
      </c>
      <c r="L8" s="345"/>
      <c r="M8" s="345" t="s">
        <v>6</v>
      </c>
      <c r="N8" s="345"/>
      <c r="O8" s="345" t="s">
        <v>233</v>
      </c>
      <c r="P8" s="345"/>
      <c r="Q8" s="346" t="s">
        <v>5</v>
      </c>
      <c r="R8" s="346"/>
      <c r="S8" s="346" t="s">
        <v>7</v>
      </c>
      <c r="T8" s="346"/>
      <c r="U8" s="346" t="s">
        <v>235</v>
      </c>
      <c r="V8" s="346"/>
      <c r="W8" s="370" t="s">
        <v>5</v>
      </c>
      <c r="X8" s="370"/>
      <c r="Y8" s="370" t="s">
        <v>8</v>
      </c>
      <c r="Z8" s="370"/>
      <c r="AA8" s="370" t="s">
        <v>9</v>
      </c>
      <c r="AB8" s="370"/>
      <c r="AC8" s="371" t="s">
        <v>5</v>
      </c>
      <c r="AD8" s="371"/>
      <c r="AE8" s="371" t="s">
        <v>8</v>
      </c>
      <c r="AF8" s="371"/>
      <c r="AG8" s="371" t="s">
        <v>9</v>
      </c>
      <c r="AH8" s="371"/>
    </row>
    <row r="9" spans="1:172" s="7" customFormat="1" ht="27.75" customHeight="1">
      <c r="A9" s="354"/>
      <c r="B9" s="355"/>
      <c r="C9" s="357"/>
      <c r="D9" s="347"/>
      <c r="E9" s="347"/>
      <c r="F9" s="347"/>
      <c r="G9" s="149" t="s">
        <v>267</v>
      </c>
      <c r="H9" s="149" t="s">
        <v>240</v>
      </c>
      <c r="I9" s="149" t="s">
        <v>267</v>
      </c>
      <c r="J9" s="149" t="s">
        <v>240</v>
      </c>
      <c r="K9" s="149" t="s">
        <v>267</v>
      </c>
      <c r="L9" s="149" t="s">
        <v>240</v>
      </c>
      <c r="M9" s="149" t="s">
        <v>267</v>
      </c>
      <c r="N9" s="149" t="s">
        <v>240</v>
      </c>
      <c r="O9" s="149" t="s">
        <v>267</v>
      </c>
      <c r="P9" s="149" t="s">
        <v>240</v>
      </c>
      <c r="Q9" s="150" t="s">
        <v>267</v>
      </c>
      <c r="R9" s="150" t="s">
        <v>240</v>
      </c>
      <c r="S9" s="150" t="s">
        <v>267</v>
      </c>
      <c r="T9" s="150" t="s">
        <v>240</v>
      </c>
      <c r="U9" s="150" t="s">
        <v>267</v>
      </c>
      <c r="V9" s="150" t="s">
        <v>240</v>
      </c>
      <c r="W9" s="151" t="s">
        <v>267</v>
      </c>
      <c r="X9" s="151" t="s">
        <v>240</v>
      </c>
      <c r="Y9" s="151" t="s">
        <v>267</v>
      </c>
      <c r="Z9" s="151" t="s">
        <v>240</v>
      </c>
      <c r="AA9" s="151" t="s">
        <v>267</v>
      </c>
      <c r="AB9" s="151" t="s">
        <v>240</v>
      </c>
      <c r="AC9" s="152" t="s">
        <v>267</v>
      </c>
      <c r="AD9" s="152" t="s">
        <v>240</v>
      </c>
      <c r="AE9" s="152" t="s">
        <v>267</v>
      </c>
      <c r="AF9" s="153" t="s">
        <v>240</v>
      </c>
      <c r="AG9" s="152" t="s">
        <v>267</v>
      </c>
      <c r="AH9" s="152" t="s">
        <v>240</v>
      </c>
    </row>
    <row r="10" spans="1:172" s="9" customFormat="1" ht="28.5" thickBot="1">
      <c r="A10" s="154" t="s">
        <v>10</v>
      </c>
      <c r="B10" s="155"/>
      <c r="C10" s="8"/>
      <c r="D10" s="159">
        <f>D11+D15+D67+D137</f>
        <v>68056857.969999999</v>
      </c>
      <c r="E10" s="159">
        <f>E11+E15+E67+E137</f>
        <v>68046476.629999995</v>
      </c>
      <c r="F10" s="159">
        <f t="shared" ref="F10:AH10" si="0">F11+F15+F67+F137</f>
        <v>68031865.170000002</v>
      </c>
      <c r="G10" s="159">
        <f t="shared" si="0"/>
        <v>16942151.539999999</v>
      </c>
      <c r="H10" s="159">
        <f t="shared" si="0"/>
        <v>16937243.099999998</v>
      </c>
      <c r="I10" s="159">
        <f t="shared" si="0"/>
        <v>179100</v>
      </c>
      <c r="J10" s="159">
        <f t="shared" si="0"/>
        <v>6691919.4700000007</v>
      </c>
      <c r="K10" s="159">
        <f t="shared" si="0"/>
        <v>12130500</v>
      </c>
      <c r="L10" s="159">
        <f t="shared" si="0"/>
        <v>7171820.2400000002</v>
      </c>
      <c r="M10" s="159">
        <f t="shared" si="0"/>
        <v>3754500</v>
      </c>
      <c r="N10" s="159">
        <f t="shared" si="0"/>
        <v>1636827.48</v>
      </c>
      <c r="O10" s="159">
        <f t="shared" si="0"/>
        <v>878051.54</v>
      </c>
      <c r="P10" s="159">
        <f t="shared" si="0"/>
        <v>1436675.9099999992</v>
      </c>
      <c r="Q10" s="159">
        <f t="shared" si="0"/>
        <v>44225525.089999996</v>
      </c>
      <c r="R10" s="159">
        <f t="shared" si="0"/>
        <v>44225365.229999997</v>
      </c>
      <c r="S10" s="159">
        <f t="shared" si="0"/>
        <v>6581000</v>
      </c>
      <c r="T10" s="159">
        <f t="shared" si="0"/>
        <v>6581000</v>
      </c>
      <c r="U10" s="159">
        <f>U11+U15+U67+U137</f>
        <v>37644525.090000004</v>
      </c>
      <c r="V10" s="159">
        <f t="shared" si="0"/>
        <v>37644365.230000004</v>
      </c>
      <c r="W10" s="159">
        <f t="shared" si="0"/>
        <v>5385400</v>
      </c>
      <c r="X10" s="159">
        <f t="shared" si="0"/>
        <v>5376400</v>
      </c>
      <c r="Y10" s="159">
        <f t="shared" si="0"/>
        <v>0</v>
      </c>
      <c r="Z10" s="159">
        <f t="shared" si="0"/>
        <v>0</v>
      </c>
      <c r="AA10" s="159">
        <f t="shared" si="0"/>
        <v>5385400</v>
      </c>
      <c r="AB10" s="159">
        <f t="shared" si="0"/>
        <v>5376400</v>
      </c>
      <c r="AC10" s="159">
        <f t="shared" si="0"/>
        <v>1493400</v>
      </c>
      <c r="AD10" s="159">
        <f t="shared" si="0"/>
        <v>1492856.84</v>
      </c>
      <c r="AE10" s="159">
        <f t="shared" si="0"/>
        <v>0</v>
      </c>
      <c r="AF10" s="159">
        <f t="shared" si="0"/>
        <v>0</v>
      </c>
      <c r="AG10" s="159">
        <f t="shared" si="0"/>
        <v>1493400</v>
      </c>
      <c r="AH10" s="159">
        <f t="shared" si="0"/>
        <v>1492856.84</v>
      </c>
    </row>
    <row r="11" spans="1:172" s="11" customFormat="1" ht="26.25" customHeight="1" thickBot="1">
      <c r="A11" s="335" t="s">
        <v>11</v>
      </c>
      <c r="B11" s="336"/>
      <c r="C11" s="10"/>
      <c r="D11" s="160">
        <f>D12</f>
        <v>0</v>
      </c>
      <c r="E11" s="160">
        <f t="shared" ref="E11:AH13" si="1">E12</f>
        <v>0</v>
      </c>
      <c r="F11" s="160">
        <f t="shared" si="1"/>
        <v>0</v>
      </c>
      <c r="G11" s="160">
        <f t="shared" si="1"/>
        <v>0</v>
      </c>
      <c r="H11" s="160">
        <f t="shared" si="1"/>
        <v>0</v>
      </c>
      <c r="I11" s="160">
        <f t="shared" si="1"/>
        <v>0</v>
      </c>
      <c r="J11" s="160">
        <f t="shared" si="1"/>
        <v>0</v>
      </c>
      <c r="K11" s="160">
        <f t="shared" si="1"/>
        <v>0</v>
      </c>
      <c r="L11" s="160">
        <f t="shared" si="1"/>
        <v>0</v>
      </c>
      <c r="M11" s="160">
        <f t="shared" si="1"/>
        <v>0</v>
      </c>
      <c r="N11" s="160">
        <f t="shared" si="1"/>
        <v>0</v>
      </c>
      <c r="O11" s="160">
        <f t="shared" si="1"/>
        <v>0</v>
      </c>
      <c r="P11" s="160">
        <f t="shared" si="1"/>
        <v>0</v>
      </c>
      <c r="Q11" s="160">
        <f t="shared" si="1"/>
        <v>0</v>
      </c>
      <c r="R11" s="160">
        <f t="shared" si="1"/>
        <v>0</v>
      </c>
      <c r="S11" s="160">
        <f t="shared" si="1"/>
        <v>0</v>
      </c>
      <c r="T11" s="160">
        <f t="shared" si="1"/>
        <v>0</v>
      </c>
      <c r="U11" s="160">
        <f t="shared" si="1"/>
        <v>0</v>
      </c>
      <c r="V11" s="160">
        <f t="shared" si="1"/>
        <v>0</v>
      </c>
      <c r="W11" s="160">
        <f t="shared" si="1"/>
        <v>0</v>
      </c>
      <c r="X11" s="160">
        <f t="shared" si="1"/>
        <v>0</v>
      </c>
      <c r="Y11" s="160">
        <f t="shared" si="1"/>
        <v>0</v>
      </c>
      <c r="Z11" s="160">
        <f t="shared" si="1"/>
        <v>0</v>
      </c>
      <c r="AA11" s="160">
        <f t="shared" si="1"/>
        <v>0</v>
      </c>
      <c r="AB11" s="160">
        <f t="shared" si="1"/>
        <v>0</v>
      </c>
      <c r="AC11" s="160">
        <f t="shared" si="1"/>
        <v>0</v>
      </c>
      <c r="AD11" s="160">
        <f t="shared" si="1"/>
        <v>0</v>
      </c>
      <c r="AE11" s="160">
        <f t="shared" si="1"/>
        <v>0</v>
      </c>
      <c r="AF11" s="160">
        <f t="shared" si="1"/>
        <v>0</v>
      </c>
      <c r="AG11" s="160">
        <f t="shared" si="1"/>
        <v>0</v>
      </c>
      <c r="AH11" s="160">
        <f t="shared" si="1"/>
        <v>0</v>
      </c>
    </row>
    <row r="12" spans="1:172" s="15" customFormat="1">
      <c r="A12" s="12" t="s">
        <v>12</v>
      </c>
      <c r="B12" s="13"/>
      <c r="C12" s="14"/>
      <c r="D12" s="161">
        <f>D13</f>
        <v>0</v>
      </c>
      <c r="E12" s="161">
        <f t="shared" si="1"/>
        <v>0</v>
      </c>
      <c r="F12" s="161">
        <f t="shared" si="1"/>
        <v>0</v>
      </c>
      <c r="G12" s="161">
        <f t="shared" si="1"/>
        <v>0</v>
      </c>
      <c r="H12" s="161">
        <f t="shared" si="1"/>
        <v>0</v>
      </c>
      <c r="I12" s="161">
        <f t="shared" si="1"/>
        <v>0</v>
      </c>
      <c r="J12" s="161">
        <f t="shared" si="1"/>
        <v>0</v>
      </c>
      <c r="K12" s="161">
        <f t="shared" si="1"/>
        <v>0</v>
      </c>
      <c r="L12" s="161">
        <f t="shared" si="1"/>
        <v>0</v>
      </c>
      <c r="M12" s="161">
        <f t="shared" si="1"/>
        <v>0</v>
      </c>
      <c r="N12" s="161">
        <f t="shared" si="1"/>
        <v>0</v>
      </c>
      <c r="O12" s="161">
        <f t="shared" si="1"/>
        <v>0</v>
      </c>
      <c r="P12" s="161">
        <f t="shared" si="1"/>
        <v>0</v>
      </c>
      <c r="Q12" s="161">
        <f t="shared" si="1"/>
        <v>0</v>
      </c>
      <c r="R12" s="161">
        <f t="shared" si="1"/>
        <v>0</v>
      </c>
      <c r="S12" s="161">
        <f t="shared" si="1"/>
        <v>0</v>
      </c>
      <c r="T12" s="161">
        <f t="shared" si="1"/>
        <v>0</v>
      </c>
      <c r="U12" s="161">
        <f t="shared" si="1"/>
        <v>0</v>
      </c>
      <c r="V12" s="161">
        <f t="shared" si="1"/>
        <v>0</v>
      </c>
      <c r="W12" s="161">
        <f t="shared" si="1"/>
        <v>0</v>
      </c>
      <c r="X12" s="161">
        <f t="shared" si="1"/>
        <v>0</v>
      </c>
      <c r="Y12" s="161">
        <f t="shared" si="1"/>
        <v>0</v>
      </c>
      <c r="Z12" s="161">
        <f t="shared" si="1"/>
        <v>0</v>
      </c>
      <c r="AA12" s="161">
        <f t="shared" si="1"/>
        <v>0</v>
      </c>
      <c r="AB12" s="161">
        <f t="shared" si="1"/>
        <v>0</v>
      </c>
      <c r="AC12" s="161">
        <f t="shared" si="1"/>
        <v>0</v>
      </c>
      <c r="AD12" s="161">
        <f t="shared" si="1"/>
        <v>0</v>
      </c>
      <c r="AE12" s="161">
        <f t="shared" si="1"/>
        <v>0</v>
      </c>
      <c r="AF12" s="161">
        <f t="shared" si="1"/>
        <v>0</v>
      </c>
      <c r="AG12" s="161">
        <f t="shared" si="1"/>
        <v>0</v>
      </c>
      <c r="AH12" s="161">
        <f t="shared" si="1"/>
        <v>0</v>
      </c>
    </row>
    <row r="13" spans="1:172" s="7" customFormat="1" ht="27.75" customHeight="1">
      <c r="A13" s="341" t="s">
        <v>13</v>
      </c>
      <c r="B13" s="342"/>
      <c r="C13" s="16"/>
      <c r="D13" s="162">
        <f>D14</f>
        <v>0</v>
      </c>
      <c r="E13" s="162">
        <f t="shared" si="1"/>
        <v>0</v>
      </c>
      <c r="F13" s="162">
        <f t="shared" si="1"/>
        <v>0</v>
      </c>
      <c r="G13" s="162">
        <f t="shared" si="1"/>
        <v>0</v>
      </c>
      <c r="H13" s="162">
        <f t="shared" si="1"/>
        <v>0</v>
      </c>
      <c r="I13" s="162">
        <f t="shared" si="1"/>
        <v>0</v>
      </c>
      <c r="J13" s="162">
        <f t="shared" si="1"/>
        <v>0</v>
      </c>
      <c r="K13" s="162">
        <f t="shared" si="1"/>
        <v>0</v>
      </c>
      <c r="L13" s="162">
        <f t="shared" si="1"/>
        <v>0</v>
      </c>
      <c r="M13" s="162">
        <f t="shared" si="1"/>
        <v>0</v>
      </c>
      <c r="N13" s="162">
        <f t="shared" si="1"/>
        <v>0</v>
      </c>
      <c r="O13" s="162">
        <f t="shared" si="1"/>
        <v>0</v>
      </c>
      <c r="P13" s="162">
        <f t="shared" si="1"/>
        <v>0</v>
      </c>
      <c r="Q13" s="162">
        <f t="shared" si="1"/>
        <v>0</v>
      </c>
      <c r="R13" s="162">
        <f t="shared" si="1"/>
        <v>0</v>
      </c>
      <c r="S13" s="162">
        <f t="shared" si="1"/>
        <v>0</v>
      </c>
      <c r="T13" s="162">
        <f t="shared" si="1"/>
        <v>0</v>
      </c>
      <c r="U13" s="162">
        <f t="shared" si="1"/>
        <v>0</v>
      </c>
      <c r="V13" s="162">
        <f t="shared" si="1"/>
        <v>0</v>
      </c>
      <c r="W13" s="162">
        <f t="shared" si="1"/>
        <v>0</v>
      </c>
      <c r="X13" s="162">
        <f t="shared" si="1"/>
        <v>0</v>
      </c>
      <c r="Y13" s="162">
        <f t="shared" si="1"/>
        <v>0</v>
      </c>
      <c r="Z13" s="162">
        <f t="shared" si="1"/>
        <v>0</v>
      </c>
      <c r="AA13" s="162">
        <f t="shared" si="1"/>
        <v>0</v>
      </c>
      <c r="AB13" s="162">
        <f t="shared" si="1"/>
        <v>0</v>
      </c>
      <c r="AC13" s="162">
        <f t="shared" si="1"/>
        <v>0</v>
      </c>
      <c r="AD13" s="162">
        <f t="shared" si="1"/>
        <v>0</v>
      </c>
      <c r="AE13" s="162">
        <f t="shared" si="1"/>
        <v>0</v>
      </c>
      <c r="AF13" s="162">
        <f t="shared" si="1"/>
        <v>0</v>
      </c>
      <c r="AG13" s="162">
        <f t="shared" si="1"/>
        <v>0</v>
      </c>
      <c r="AH13" s="162">
        <f t="shared" si="1"/>
        <v>0</v>
      </c>
    </row>
    <row r="14" spans="1:172" s="7" customFormat="1" ht="28.5" thickBot="1">
      <c r="A14" s="17" t="s">
        <v>14</v>
      </c>
      <c r="B14" s="18" t="s">
        <v>15</v>
      </c>
      <c r="C14" s="19" t="s">
        <v>16</v>
      </c>
      <c r="D14" s="163"/>
      <c r="E14" s="164">
        <f>G14+Q14+W14+AC14</f>
        <v>0</v>
      </c>
      <c r="F14" s="164">
        <f>H14+R14+X14+AD14</f>
        <v>0</v>
      </c>
      <c r="G14" s="164">
        <f>I14+K14+M14+O14</f>
        <v>0</v>
      </c>
      <c r="H14" s="165">
        <f>SUM(J14+L14+N14+P14)</f>
        <v>0</v>
      </c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</row>
    <row r="15" spans="1:172" s="22" customFormat="1" ht="28.5" thickBot="1">
      <c r="A15" s="335" t="s">
        <v>17</v>
      </c>
      <c r="B15" s="336"/>
      <c r="C15" s="20"/>
      <c r="D15" s="166">
        <f>D16</f>
        <v>49789819.030000001</v>
      </c>
      <c r="E15" s="166">
        <f t="shared" ref="E15:AH16" si="2">E16</f>
        <v>49780940.489999995</v>
      </c>
      <c r="F15" s="166">
        <f t="shared" si="2"/>
        <v>49779694.82</v>
      </c>
      <c r="G15" s="166">
        <f t="shared" si="2"/>
        <v>13703900</v>
      </c>
      <c r="H15" s="166">
        <f t="shared" si="2"/>
        <v>13702814.189999999</v>
      </c>
      <c r="I15" s="166">
        <f t="shared" si="2"/>
        <v>42000</v>
      </c>
      <c r="J15" s="166">
        <f t="shared" si="2"/>
        <v>5952938.6400000006</v>
      </c>
      <c r="K15" s="166">
        <f t="shared" si="2"/>
        <v>10071900</v>
      </c>
      <c r="L15" s="166">
        <f t="shared" si="2"/>
        <v>5606138.7000000002</v>
      </c>
      <c r="M15" s="166">
        <f t="shared" si="2"/>
        <v>3232700</v>
      </c>
      <c r="N15" s="166">
        <f t="shared" si="2"/>
        <v>1423787.48</v>
      </c>
      <c r="O15" s="166">
        <f t="shared" si="2"/>
        <v>357300</v>
      </c>
      <c r="P15" s="166">
        <f t="shared" si="2"/>
        <v>719949.36999999953</v>
      </c>
      <c r="Q15" s="166">
        <f t="shared" si="2"/>
        <v>36077040.489999995</v>
      </c>
      <c r="R15" s="166">
        <f t="shared" si="2"/>
        <v>36076880.629999995</v>
      </c>
      <c r="S15" s="166">
        <f t="shared" si="2"/>
        <v>6581000</v>
      </c>
      <c r="T15" s="166">
        <f t="shared" si="2"/>
        <v>6581000</v>
      </c>
      <c r="U15" s="166">
        <f t="shared" si="2"/>
        <v>29496040.490000002</v>
      </c>
      <c r="V15" s="166">
        <f t="shared" si="2"/>
        <v>29495880.630000003</v>
      </c>
      <c r="W15" s="166">
        <f t="shared" si="2"/>
        <v>0</v>
      </c>
      <c r="X15" s="166">
        <f t="shared" si="2"/>
        <v>0</v>
      </c>
      <c r="Y15" s="166">
        <f t="shared" si="2"/>
        <v>0</v>
      </c>
      <c r="Z15" s="166">
        <f t="shared" si="2"/>
        <v>0</v>
      </c>
      <c r="AA15" s="166">
        <f t="shared" si="2"/>
        <v>0</v>
      </c>
      <c r="AB15" s="166">
        <f t="shared" si="2"/>
        <v>0</v>
      </c>
      <c r="AC15" s="166">
        <f t="shared" si="2"/>
        <v>0</v>
      </c>
      <c r="AD15" s="166">
        <f t="shared" si="2"/>
        <v>0</v>
      </c>
      <c r="AE15" s="166">
        <f t="shared" si="2"/>
        <v>0</v>
      </c>
      <c r="AF15" s="166">
        <f t="shared" si="2"/>
        <v>0</v>
      </c>
      <c r="AG15" s="166">
        <f t="shared" si="2"/>
        <v>0</v>
      </c>
      <c r="AH15" s="166">
        <f t="shared" si="2"/>
        <v>0</v>
      </c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</row>
    <row r="16" spans="1:172" s="24" customFormat="1" ht="28.5" customHeight="1">
      <c r="A16" s="337" t="s">
        <v>18</v>
      </c>
      <c r="B16" s="338"/>
      <c r="C16" s="23"/>
      <c r="D16" s="167">
        <f>D17</f>
        <v>49789819.030000001</v>
      </c>
      <c r="E16" s="167">
        <f t="shared" si="2"/>
        <v>49780940.489999995</v>
      </c>
      <c r="F16" s="167">
        <f t="shared" si="2"/>
        <v>49779694.82</v>
      </c>
      <c r="G16" s="167">
        <f t="shared" si="2"/>
        <v>13703900</v>
      </c>
      <c r="H16" s="167">
        <f t="shared" si="2"/>
        <v>13702814.189999999</v>
      </c>
      <c r="I16" s="167">
        <f t="shared" si="2"/>
        <v>42000</v>
      </c>
      <c r="J16" s="167">
        <f t="shared" si="2"/>
        <v>5952938.6400000006</v>
      </c>
      <c r="K16" s="167">
        <f t="shared" si="2"/>
        <v>10071900</v>
      </c>
      <c r="L16" s="167">
        <f t="shared" si="2"/>
        <v>5606138.7000000002</v>
      </c>
      <c r="M16" s="167">
        <f t="shared" si="2"/>
        <v>3232700</v>
      </c>
      <c r="N16" s="167">
        <f t="shared" si="2"/>
        <v>1423787.48</v>
      </c>
      <c r="O16" s="167">
        <f t="shared" si="2"/>
        <v>357300</v>
      </c>
      <c r="P16" s="167">
        <f t="shared" si="2"/>
        <v>719949.36999999953</v>
      </c>
      <c r="Q16" s="167">
        <f t="shared" si="2"/>
        <v>36077040.489999995</v>
      </c>
      <c r="R16" s="167">
        <f t="shared" si="2"/>
        <v>36076880.629999995</v>
      </c>
      <c r="S16" s="167">
        <f t="shared" si="2"/>
        <v>6581000</v>
      </c>
      <c r="T16" s="167">
        <f t="shared" si="2"/>
        <v>6581000</v>
      </c>
      <c r="U16" s="167">
        <f t="shared" si="2"/>
        <v>29496040.490000002</v>
      </c>
      <c r="V16" s="167">
        <f t="shared" si="2"/>
        <v>29495880.630000003</v>
      </c>
      <c r="W16" s="167">
        <f t="shared" si="2"/>
        <v>0</v>
      </c>
      <c r="X16" s="167">
        <f t="shared" si="2"/>
        <v>0</v>
      </c>
      <c r="Y16" s="167">
        <f t="shared" si="2"/>
        <v>0</v>
      </c>
      <c r="Z16" s="167">
        <f t="shared" si="2"/>
        <v>0</v>
      </c>
      <c r="AA16" s="167">
        <f t="shared" si="2"/>
        <v>0</v>
      </c>
      <c r="AB16" s="167">
        <f t="shared" si="2"/>
        <v>0</v>
      </c>
      <c r="AC16" s="167">
        <f t="shared" si="2"/>
        <v>0</v>
      </c>
      <c r="AD16" s="167">
        <f t="shared" si="2"/>
        <v>0</v>
      </c>
      <c r="AE16" s="167">
        <f t="shared" si="2"/>
        <v>0</v>
      </c>
      <c r="AF16" s="167">
        <f t="shared" si="2"/>
        <v>0</v>
      </c>
      <c r="AG16" s="167">
        <f t="shared" si="2"/>
        <v>0</v>
      </c>
      <c r="AH16" s="167">
        <f t="shared" si="2"/>
        <v>0</v>
      </c>
    </row>
    <row r="17" spans="1:34" s="25" customFormat="1">
      <c r="A17" s="339" t="s">
        <v>19</v>
      </c>
      <c r="B17" s="340"/>
      <c r="C17" s="14"/>
      <c r="D17" s="168">
        <f>D18+D21+D25+D29+D42+D49+D63</f>
        <v>49789819.030000001</v>
      </c>
      <c r="E17" s="168">
        <f t="shared" ref="E17:AH17" si="3">E18+E21+E25+E29+E42+E49+E63</f>
        <v>49780940.489999995</v>
      </c>
      <c r="F17" s="168">
        <f t="shared" si="3"/>
        <v>49779694.82</v>
      </c>
      <c r="G17" s="168">
        <f t="shared" si="3"/>
        <v>13703900</v>
      </c>
      <c r="H17" s="168">
        <f t="shared" si="3"/>
        <v>13702814.189999999</v>
      </c>
      <c r="I17" s="168">
        <f t="shared" si="3"/>
        <v>42000</v>
      </c>
      <c r="J17" s="168">
        <f t="shared" si="3"/>
        <v>5952938.6400000006</v>
      </c>
      <c r="K17" s="168">
        <f t="shared" si="3"/>
        <v>10071900</v>
      </c>
      <c r="L17" s="168">
        <f t="shared" si="3"/>
        <v>5606138.7000000002</v>
      </c>
      <c r="M17" s="168">
        <f t="shared" si="3"/>
        <v>3232700</v>
      </c>
      <c r="N17" s="168">
        <f t="shared" si="3"/>
        <v>1423787.48</v>
      </c>
      <c r="O17" s="168">
        <f t="shared" si="3"/>
        <v>357300</v>
      </c>
      <c r="P17" s="168">
        <f t="shared" si="3"/>
        <v>719949.36999999953</v>
      </c>
      <c r="Q17" s="168">
        <f t="shared" si="3"/>
        <v>36077040.489999995</v>
      </c>
      <c r="R17" s="168">
        <f t="shared" si="3"/>
        <v>36076880.629999995</v>
      </c>
      <c r="S17" s="168">
        <f t="shared" si="3"/>
        <v>6581000</v>
      </c>
      <c r="T17" s="168">
        <f t="shared" si="3"/>
        <v>6581000</v>
      </c>
      <c r="U17" s="168">
        <f t="shared" si="3"/>
        <v>29496040.490000002</v>
      </c>
      <c r="V17" s="168">
        <f t="shared" si="3"/>
        <v>29495880.630000003</v>
      </c>
      <c r="W17" s="168">
        <f t="shared" si="3"/>
        <v>0</v>
      </c>
      <c r="X17" s="168">
        <f t="shared" si="3"/>
        <v>0</v>
      </c>
      <c r="Y17" s="168">
        <f t="shared" si="3"/>
        <v>0</v>
      </c>
      <c r="Z17" s="168">
        <f t="shared" si="3"/>
        <v>0</v>
      </c>
      <c r="AA17" s="168">
        <f t="shared" si="3"/>
        <v>0</v>
      </c>
      <c r="AB17" s="168">
        <f t="shared" si="3"/>
        <v>0</v>
      </c>
      <c r="AC17" s="168">
        <f t="shared" si="3"/>
        <v>0</v>
      </c>
      <c r="AD17" s="168">
        <f t="shared" si="3"/>
        <v>0</v>
      </c>
      <c r="AE17" s="168">
        <f t="shared" si="3"/>
        <v>0</v>
      </c>
      <c r="AF17" s="168">
        <f t="shared" si="3"/>
        <v>0</v>
      </c>
      <c r="AG17" s="168">
        <f t="shared" si="3"/>
        <v>0</v>
      </c>
      <c r="AH17" s="168">
        <f t="shared" si="3"/>
        <v>0</v>
      </c>
    </row>
    <row r="18" spans="1:34" s="7" customFormat="1" ht="23.25" customHeight="1">
      <c r="A18" s="341" t="s">
        <v>20</v>
      </c>
      <c r="B18" s="342"/>
      <c r="C18" s="26"/>
      <c r="D18" s="162">
        <f>D19+D20</f>
        <v>7219680</v>
      </c>
      <c r="E18" s="162">
        <f t="shared" ref="E18:AH18" si="4">E19+E20</f>
        <v>7219680</v>
      </c>
      <c r="F18" s="162">
        <f t="shared" si="4"/>
        <v>7219266.9300000006</v>
      </c>
      <c r="G18" s="162">
        <f t="shared" si="4"/>
        <v>7219680</v>
      </c>
      <c r="H18" s="162">
        <f t="shared" si="4"/>
        <v>7219266.9300000006</v>
      </c>
      <c r="I18" s="162">
        <f t="shared" si="4"/>
        <v>0</v>
      </c>
      <c r="J18" s="162">
        <f t="shared" si="4"/>
        <v>5952938.6400000006</v>
      </c>
      <c r="K18" s="162">
        <f t="shared" si="4"/>
        <v>6740080</v>
      </c>
      <c r="L18" s="162">
        <f t="shared" si="4"/>
        <v>1178535.0000000002</v>
      </c>
      <c r="M18" s="162">
        <f t="shared" si="4"/>
        <v>479600</v>
      </c>
      <c r="N18" s="162">
        <f t="shared" si="4"/>
        <v>0</v>
      </c>
      <c r="O18" s="162">
        <f t="shared" si="4"/>
        <v>0</v>
      </c>
      <c r="P18" s="162">
        <f t="shared" si="4"/>
        <v>87793.290000000008</v>
      </c>
      <c r="Q18" s="162">
        <f t="shared" si="4"/>
        <v>0</v>
      </c>
      <c r="R18" s="162">
        <f t="shared" si="4"/>
        <v>0</v>
      </c>
      <c r="S18" s="162">
        <f t="shared" si="4"/>
        <v>0</v>
      </c>
      <c r="T18" s="162">
        <f t="shared" si="4"/>
        <v>0</v>
      </c>
      <c r="U18" s="162">
        <f t="shared" si="4"/>
        <v>0</v>
      </c>
      <c r="V18" s="162">
        <f t="shared" si="4"/>
        <v>0</v>
      </c>
      <c r="W18" s="162">
        <f t="shared" si="4"/>
        <v>0</v>
      </c>
      <c r="X18" s="162">
        <f t="shared" si="4"/>
        <v>0</v>
      </c>
      <c r="Y18" s="162">
        <f t="shared" si="4"/>
        <v>0</v>
      </c>
      <c r="Z18" s="162">
        <f t="shared" si="4"/>
        <v>0</v>
      </c>
      <c r="AA18" s="162">
        <f t="shared" si="4"/>
        <v>0</v>
      </c>
      <c r="AB18" s="162">
        <f t="shared" si="4"/>
        <v>0</v>
      </c>
      <c r="AC18" s="162">
        <f t="shared" si="4"/>
        <v>0</v>
      </c>
      <c r="AD18" s="162">
        <f t="shared" si="4"/>
        <v>0</v>
      </c>
      <c r="AE18" s="162">
        <f t="shared" si="4"/>
        <v>0</v>
      </c>
      <c r="AF18" s="162">
        <f t="shared" si="4"/>
        <v>0</v>
      </c>
      <c r="AG18" s="162">
        <f t="shared" si="4"/>
        <v>0</v>
      </c>
      <c r="AH18" s="162">
        <f t="shared" si="4"/>
        <v>0</v>
      </c>
    </row>
    <row r="19" spans="1:34" s="7" customFormat="1">
      <c r="A19" s="27" t="s">
        <v>14</v>
      </c>
      <c r="B19" s="28" t="s">
        <v>21</v>
      </c>
      <c r="C19" s="29" t="s">
        <v>22</v>
      </c>
      <c r="D19" s="169">
        <f>208000+429600+753600+429600+700800+160800+1833600+861600+797280+1024800+20000</f>
        <v>7219680</v>
      </c>
      <c r="E19" s="157">
        <f t="shared" ref="E19:F20" si="5">G19+Q19+W19+AC19</f>
        <v>7219680</v>
      </c>
      <c r="F19" s="157">
        <f t="shared" si="5"/>
        <v>7219266.9300000006</v>
      </c>
      <c r="G19" s="157">
        <f t="shared" ref="G19:G28" si="6">I19+K19+M19+O19</f>
        <v>7219680</v>
      </c>
      <c r="H19" s="157">
        <f>SUM(J19+L19+N19+P19)</f>
        <v>7219266.9300000006</v>
      </c>
      <c r="I19" s="157"/>
      <c r="J19" s="157">
        <f>9000+27000+54000+27000+45000+144000+63000+63000+72000+9000+27000+54000+27000+45000+144000+63000+63000+72000+9000+27000+54000+27000+45000+144000+63000+63000+72000+9000+27000+54000+27000+45000+144000+63000+63000+72000+9000+27000+54000+27000+45000+144000+63000+63000+72000+9000+27000+54000+27000+45000+144000+63000+63000+72000+9000+27000+45000+23100+45000+144000+63000+63000+72000+9000+27000+51387.04+27000+45000+144000+55451.6+63000+72000+9000+27000+54000+27000+45000+144000+54000+63000+63000+9000+27000+54000+27000+45000+144000+54000+63000+63000+9000+9000+27000+27000+54000+54000+27000+27000+45000+45000+144000+144000+54000+54000+63000+63000+63000+63000</f>
        <v>5952938.6400000006</v>
      </c>
      <c r="K19" s="157">
        <f>3243820+1630365+14400+1851495</f>
        <v>6740080</v>
      </c>
      <c r="L19" s="157">
        <f>10000+22720+10100+16800+10000+9780+7300+5820+8680+10000+10500+10000+11840+8000+720+5600+1000+4840+3424+16200+8960+3000+2440+2680+3500+8040+8000+5160+9900+8000+8000+7240+12120+11420+2330+6080+8000+3200+3440+10300+4660+8000+7000+6700+14950+3550+1000+46005+5560+7000+7500+1000+1000+7000+7000+3200+11880+11880+9540+11620+7000+7500+13450+11540+1000+1000+1000+500+1980+2440+1960+500+1980+3660+8300+7000+10360+10360+7000+3900+1500+11880+10580+16100+7000+8000+12200+1480+4120+2460+7000+17080+11040+11880+17640+16000+6000+7500+16200+12330+1000+1200+2600+2180+1000+1000+7000+10000+13320+16280+16680+17680+16000+16400+16400+11800+22200+20040+9000+9000+12100+9910+17000+1480+226+1387.03+12090+9000+17.87+7936+12000+568.23+16400+68.6+11880+141.76+23200+1388.4+23.52+9000+27.74+12000+1550.85+16760</f>
        <v>1178535.0000000002</v>
      </c>
      <c r="M19" s="157">
        <f>228480+114835+5600+130685</f>
        <v>479600</v>
      </c>
      <c r="N19" s="157"/>
      <c r="O19" s="157"/>
      <c r="P19" s="157">
        <f>2483.95+625.95+3287.77+474.57+625.95+1426.9+2443.83+1912.39+3137.23+518.95+518.95+518.95+684.8+3184.16+1868.26+1919.76+2210.46+1582.42+1842.03+1945.9+631.3+738.3+581.98+3486.62+738.3+559.59+518.95+625.95+892.08+684.8+1392.25+466.82+847.61+3188.87+1157.61+3662.79+518.95+518.95+518.95+3760.17+631.3+631.3+631.3+3623.21+1258.15+1186.74+1824.51+945.06+714.33+4890.16+3817.25+663.4+663.4+663.4+386.27+345.61+1065.89+518.95+3052.52+494.14+1082.38</f>
        <v>87793.290000000008</v>
      </c>
      <c r="Q19" s="157">
        <f>SUM(S19+U19)</f>
        <v>0</v>
      </c>
      <c r="R19" s="157">
        <f>SUM(T19+V19)</f>
        <v>0</v>
      </c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</row>
    <row r="20" spans="1:34" s="7" customFormat="1" ht="30.75" customHeight="1">
      <c r="A20" s="30" t="s">
        <v>23</v>
      </c>
      <c r="B20" s="31" t="s">
        <v>24</v>
      </c>
      <c r="C20" s="32" t="s">
        <v>22</v>
      </c>
      <c r="D20" s="170"/>
      <c r="E20" s="157">
        <f t="shared" si="5"/>
        <v>0</v>
      </c>
      <c r="F20" s="157">
        <f t="shared" si="5"/>
        <v>0</v>
      </c>
      <c r="G20" s="157">
        <f t="shared" si="6"/>
        <v>0</v>
      </c>
      <c r="H20" s="157">
        <f>SUM(J20+L20+N20+P20)</f>
        <v>0</v>
      </c>
      <c r="I20" s="171"/>
      <c r="J20" s="171"/>
      <c r="K20" s="171"/>
      <c r="L20" s="171"/>
      <c r="M20" s="171"/>
      <c r="N20" s="171"/>
      <c r="O20" s="171"/>
      <c r="P20" s="171"/>
      <c r="Q20" s="157">
        <f>SUM(S20+U20)</f>
        <v>0</v>
      </c>
      <c r="R20" s="157">
        <f>SUM(T20+V20)</f>
        <v>0</v>
      </c>
      <c r="S20" s="171"/>
      <c r="T20" s="171"/>
      <c r="U20" s="171"/>
      <c r="V20" s="172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</row>
    <row r="21" spans="1:34" s="7" customFormat="1" ht="24" customHeight="1">
      <c r="A21" s="341" t="s">
        <v>25</v>
      </c>
      <c r="B21" s="342"/>
      <c r="C21" s="16"/>
      <c r="D21" s="173">
        <f>SUM(D22:D24)</f>
        <v>430400</v>
      </c>
      <c r="E21" s="173">
        <f t="shared" ref="E21:AH21" si="7">SUM(E22:E24)</f>
        <v>430400</v>
      </c>
      <c r="F21" s="173">
        <f t="shared" si="7"/>
        <v>430290</v>
      </c>
      <c r="G21" s="173">
        <f t="shared" si="7"/>
        <v>430400</v>
      </c>
      <c r="H21" s="173">
        <f t="shared" si="7"/>
        <v>430290</v>
      </c>
      <c r="I21" s="173">
        <f t="shared" si="7"/>
        <v>0</v>
      </c>
      <c r="J21" s="173">
        <f t="shared" si="7"/>
        <v>0</v>
      </c>
      <c r="K21" s="173">
        <f t="shared" si="7"/>
        <v>294900</v>
      </c>
      <c r="L21" s="173">
        <f t="shared" si="7"/>
        <v>430290</v>
      </c>
      <c r="M21" s="173">
        <f t="shared" si="7"/>
        <v>135500</v>
      </c>
      <c r="N21" s="173">
        <f t="shared" si="7"/>
        <v>0</v>
      </c>
      <c r="O21" s="173">
        <f t="shared" si="7"/>
        <v>0</v>
      </c>
      <c r="P21" s="173">
        <f t="shared" si="7"/>
        <v>0</v>
      </c>
      <c r="Q21" s="173">
        <f t="shared" si="7"/>
        <v>0</v>
      </c>
      <c r="R21" s="173">
        <f t="shared" si="7"/>
        <v>0</v>
      </c>
      <c r="S21" s="173">
        <f t="shared" si="7"/>
        <v>0</v>
      </c>
      <c r="T21" s="173">
        <f t="shared" si="7"/>
        <v>0</v>
      </c>
      <c r="U21" s="173">
        <f t="shared" si="7"/>
        <v>0</v>
      </c>
      <c r="V21" s="173">
        <f t="shared" si="7"/>
        <v>0</v>
      </c>
      <c r="W21" s="173">
        <f t="shared" si="7"/>
        <v>0</v>
      </c>
      <c r="X21" s="173">
        <f t="shared" si="7"/>
        <v>0</v>
      </c>
      <c r="Y21" s="173">
        <f t="shared" si="7"/>
        <v>0</v>
      </c>
      <c r="Z21" s="173">
        <f t="shared" si="7"/>
        <v>0</v>
      </c>
      <c r="AA21" s="173">
        <f t="shared" si="7"/>
        <v>0</v>
      </c>
      <c r="AB21" s="173">
        <f t="shared" si="7"/>
        <v>0</v>
      </c>
      <c r="AC21" s="173">
        <f t="shared" si="7"/>
        <v>0</v>
      </c>
      <c r="AD21" s="173">
        <f t="shared" si="7"/>
        <v>0</v>
      </c>
      <c r="AE21" s="173">
        <f t="shared" si="7"/>
        <v>0</v>
      </c>
      <c r="AF21" s="173">
        <f t="shared" si="7"/>
        <v>0</v>
      </c>
      <c r="AG21" s="173">
        <f t="shared" si="7"/>
        <v>0</v>
      </c>
      <c r="AH21" s="173">
        <f t="shared" si="7"/>
        <v>0</v>
      </c>
    </row>
    <row r="22" spans="1:34" s="7" customFormat="1">
      <c r="A22" s="27" t="s">
        <v>26</v>
      </c>
      <c r="B22" s="28" t="s">
        <v>27</v>
      </c>
      <c r="C22" s="29" t="s">
        <v>28</v>
      </c>
      <c r="D22" s="169">
        <f>150000+220400</f>
        <v>370400</v>
      </c>
      <c r="E22" s="157">
        <f>G22+Q22+W22+AC22</f>
        <v>370400</v>
      </c>
      <c r="F22" s="157">
        <f t="shared" ref="F22:F24" si="8">H22+R22+X22+AD22</f>
        <v>370350</v>
      </c>
      <c r="G22" s="157">
        <f t="shared" si="6"/>
        <v>370400</v>
      </c>
      <c r="H22" s="169">
        <f>SUM(J22+L22+N22+P22)</f>
        <v>370350</v>
      </c>
      <c r="I22" s="157"/>
      <c r="J22" s="157"/>
      <c r="K22" s="157">
        <f>29400+13335+9765+214400</f>
        <v>266900</v>
      </c>
      <c r="L22" s="157">
        <f>500+1000+2020+2220+2000+500+2760+1000+1255+1510+500+800+1980+1420+8660+5020+4020+500+800+3680+1680+6520+4060+2000+1720+1920+500+1000+2020+986+4200+2460+1000+7360+4660+7173+14800+2080+1720+1480+1240+940+1000+1760+1000+1000+1300+1320+1000+1480+1000+1000+1000+2480+1960+500+1000+480+1680+1700+1500+1480+1500+1000+1500+2020+500+700+1780+1000+696+103240+46600+4510+66000</f>
        <v>370350</v>
      </c>
      <c r="M22" s="157">
        <f>54600+24765+18135+6000</f>
        <v>103500</v>
      </c>
      <c r="N22" s="157"/>
      <c r="O22" s="157"/>
      <c r="P22" s="157"/>
      <c r="Q22" s="157">
        <f>SUM(S22+U22)</f>
        <v>0</v>
      </c>
      <c r="R22" s="157">
        <f>SUM(T22+V22)</f>
        <v>0</v>
      </c>
      <c r="S22" s="157"/>
      <c r="T22" s="157"/>
      <c r="U22" s="157"/>
      <c r="V22" s="157"/>
      <c r="W22" s="157">
        <f>SUM(Y22+AA22)</f>
        <v>0</v>
      </c>
      <c r="X22" s="157">
        <f>SUM(Z22+AB22)</f>
        <v>0</v>
      </c>
      <c r="Y22" s="157"/>
      <c r="Z22" s="157"/>
      <c r="AA22" s="157"/>
      <c r="AB22" s="157"/>
      <c r="AC22" s="157">
        <f>SUM(AE22+AG22)</f>
        <v>0</v>
      </c>
      <c r="AD22" s="157">
        <f>SUM(AF22+AH22)</f>
        <v>0</v>
      </c>
      <c r="AE22" s="157"/>
      <c r="AF22" s="157"/>
      <c r="AG22" s="157"/>
      <c r="AH22" s="157"/>
    </row>
    <row r="23" spans="1:34" s="7" customFormat="1" ht="29.25" customHeight="1">
      <c r="A23" s="33" t="s">
        <v>29</v>
      </c>
      <c r="B23" s="34" t="s">
        <v>30</v>
      </c>
      <c r="C23" s="35" t="s">
        <v>28</v>
      </c>
      <c r="D23" s="174">
        <f>10000</f>
        <v>10000</v>
      </c>
      <c r="E23" s="157">
        <f t="shared" ref="E23:E24" si="9">G23+Q23+W23+AC23</f>
        <v>10000</v>
      </c>
      <c r="F23" s="157">
        <f t="shared" si="8"/>
        <v>9940</v>
      </c>
      <c r="G23" s="157">
        <f t="shared" si="6"/>
        <v>10000</v>
      </c>
      <c r="H23" s="169">
        <f t="shared" ref="H23:H24" si="10">SUM(J23+L23+N23+P23)</f>
        <v>9940</v>
      </c>
      <c r="I23" s="175"/>
      <c r="J23" s="175"/>
      <c r="K23" s="175">
        <f>3240+1440+1320</f>
        <v>6000</v>
      </c>
      <c r="L23" s="175">
        <f>1740+2600+2000+1000+1300+500+800</f>
        <v>9940</v>
      </c>
      <c r="M23" s="175">
        <f>2160+960+880</f>
        <v>4000</v>
      </c>
      <c r="N23" s="175"/>
      <c r="O23" s="175"/>
      <c r="P23" s="175"/>
      <c r="Q23" s="157">
        <f t="shared" ref="Q23:Q24" si="11">SUM(S23+U23)</f>
        <v>0</v>
      </c>
      <c r="R23" s="157">
        <f t="shared" ref="R23:R24" si="12">SUM(T23+V23)</f>
        <v>0</v>
      </c>
      <c r="S23" s="175"/>
      <c r="T23" s="175"/>
      <c r="U23" s="175"/>
      <c r="V23" s="175"/>
      <c r="W23" s="157">
        <f t="shared" ref="W23:X24" si="13">SUM(Y23+AA23)</f>
        <v>0</v>
      </c>
      <c r="X23" s="157">
        <f t="shared" si="13"/>
        <v>0</v>
      </c>
      <c r="Y23" s="175"/>
      <c r="Z23" s="175"/>
      <c r="AA23" s="175"/>
      <c r="AB23" s="175"/>
      <c r="AC23" s="157">
        <f t="shared" ref="AC23:AD24" si="14">SUM(AE23+AG23)</f>
        <v>0</v>
      </c>
      <c r="AD23" s="157">
        <f t="shared" si="14"/>
        <v>0</v>
      </c>
      <c r="AE23" s="175"/>
      <c r="AF23" s="175"/>
      <c r="AG23" s="175"/>
      <c r="AH23" s="175"/>
    </row>
    <row r="24" spans="1:34" s="7" customFormat="1">
      <c r="A24" s="30" t="s">
        <v>31</v>
      </c>
      <c r="B24" s="31" t="s">
        <v>32</v>
      </c>
      <c r="C24" s="32" t="s">
        <v>33</v>
      </c>
      <c r="D24" s="170">
        <f>50000</f>
        <v>50000</v>
      </c>
      <c r="E24" s="157">
        <f t="shared" si="9"/>
        <v>50000</v>
      </c>
      <c r="F24" s="157">
        <f t="shared" si="8"/>
        <v>50000</v>
      </c>
      <c r="G24" s="157">
        <f t="shared" si="6"/>
        <v>50000</v>
      </c>
      <c r="H24" s="169">
        <f t="shared" si="10"/>
        <v>50000</v>
      </c>
      <c r="I24" s="171"/>
      <c r="J24" s="171"/>
      <c r="K24" s="171">
        <f>10296+4884+6820</f>
        <v>22000</v>
      </c>
      <c r="L24" s="171">
        <f>1520+10260+6120+9080+8160+2320+5040+1280+3040+3180</f>
        <v>50000</v>
      </c>
      <c r="M24" s="171">
        <f>13104+6216+8680</f>
        <v>28000</v>
      </c>
      <c r="N24" s="171"/>
      <c r="O24" s="171"/>
      <c r="P24" s="171"/>
      <c r="Q24" s="157">
        <f t="shared" si="11"/>
        <v>0</v>
      </c>
      <c r="R24" s="157">
        <f t="shared" si="12"/>
        <v>0</v>
      </c>
      <c r="S24" s="171"/>
      <c r="T24" s="171"/>
      <c r="U24" s="171"/>
      <c r="V24" s="171"/>
      <c r="W24" s="157">
        <f t="shared" si="13"/>
        <v>0</v>
      </c>
      <c r="X24" s="157">
        <f t="shared" si="13"/>
        <v>0</v>
      </c>
      <c r="Y24" s="171"/>
      <c r="Z24" s="171"/>
      <c r="AA24" s="171"/>
      <c r="AB24" s="171"/>
      <c r="AC24" s="157">
        <f t="shared" si="14"/>
        <v>0</v>
      </c>
      <c r="AD24" s="157">
        <f t="shared" si="14"/>
        <v>0</v>
      </c>
      <c r="AE24" s="171"/>
      <c r="AF24" s="171"/>
      <c r="AG24" s="171"/>
      <c r="AH24" s="171"/>
    </row>
    <row r="25" spans="1:34" s="7" customFormat="1" ht="27.75" customHeight="1">
      <c r="A25" s="341" t="s">
        <v>34</v>
      </c>
      <c r="B25" s="342"/>
      <c r="C25" s="16"/>
      <c r="D25" s="162">
        <f>SUM(D26:D28)</f>
        <v>234000</v>
      </c>
      <c r="E25" s="162">
        <f t="shared" ref="E25:AH25" si="15">SUM(E26:E28)</f>
        <v>234000</v>
      </c>
      <c r="F25" s="162">
        <f t="shared" si="15"/>
        <v>233999.16999999998</v>
      </c>
      <c r="G25" s="162">
        <f t="shared" si="15"/>
        <v>234000</v>
      </c>
      <c r="H25" s="162">
        <f t="shared" si="15"/>
        <v>233999.16999999998</v>
      </c>
      <c r="I25" s="162">
        <f t="shared" si="15"/>
        <v>0</v>
      </c>
      <c r="J25" s="162">
        <f t="shared" si="15"/>
        <v>0</v>
      </c>
      <c r="K25" s="162">
        <f t="shared" si="15"/>
        <v>117000</v>
      </c>
      <c r="L25" s="162">
        <f t="shared" si="15"/>
        <v>225003.16999999998</v>
      </c>
      <c r="M25" s="162">
        <f t="shared" si="15"/>
        <v>117000</v>
      </c>
      <c r="N25" s="162">
        <f t="shared" si="15"/>
        <v>8996</v>
      </c>
      <c r="O25" s="162">
        <f t="shared" si="15"/>
        <v>0</v>
      </c>
      <c r="P25" s="162">
        <f t="shared" si="15"/>
        <v>0</v>
      </c>
      <c r="Q25" s="162">
        <f t="shared" si="15"/>
        <v>0</v>
      </c>
      <c r="R25" s="162">
        <f t="shared" si="15"/>
        <v>0</v>
      </c>
      <c r="S25" s="162">
        <f t="shared" si="15"/>
        <v>0</v>
      </c>
      <c r="T25" s="162">
        <f t="shared" si="15"/>
        <v>0</v>
      </c>
      <c r="U25" s="162">
        <f t="shared" si="15"/>
        <v>0</v>
      </c>
      <c r="V25" s="162">
        <f t="shared" si="15"/>
        <v>0</v>
      </c>
      <c r="W25" s="162">
        <f t="shared" si="15"/>
        <v>0</v>
      </c>
      <c r="X25" s="162">
        <f t="shared" si="15"/>
        <v>0</v>
      </c>
      <c r="Y25" s="162">
        <f t="shared" si="15"/>
        <v>0</v>
      </c>
      <c r="Z25" s="162">
        <f t="shared" si="15"/>
        <v>0</v>
      </c>
      <c r="AA25" s="162">
        <f t="shared" si="15"/>
        <v>0</v>
      </c>
      <c r="AB25" s="162">
        <f t="shared" si="15"/>
        <v>0</v>
      </c>
      <c r="AC25" s="162">
        <f t="shared" si="15"/>
        <v>0</v>
      </c>
      <c r="AD25" s="162">
        <f t="shared" si="15"/>
        <v>0</v>
      </c>
      <c r="AE25" s="162">
        <f t="shared" si="15"/>
        <v>0</v>
      </c>
      <c r="AF25" s="162">
        <f t="shared" si="15"/>
        <v>0</v>
      </c>
      <c r="AG25" s="162">
        <f t="shared" si="15"/>
        <v>0</v>
      </c>
      <c r="AH25" s="162">
        <f t="shared" si="15"/>
        <v>0</v>
      </c>
    </row>
    <row r="26" spans="1:34" s="7" customFormat="1">
      <c r="A26" s="33" t="s">
        <v>35</v>
      </c>
      <c r="B26" s="36" t="s">
        <v>36</v>
      </c>
      <c r="C26" s="35" t="s">
        <v>37</v>
      </c>
      <c r="D26" s="174">
        <f>117000</f>
        <v>117000</v>
      </c>
      <c r="E26" s="157">
        <f t="shared" ref="E26:F28" si="16">G26+Q26+W26+AC26</f>
        <v>117000</v>
      </c>
      <c r="F26" s="157">
        <f t="shared" si="16"/>
        <v>116999.81</v>
      </c>
      <c r="G26" s="157">
        <f t="shared" si="6"/>
        <v>117000</v>
      </c>
      <c r="H26" s="175">
        <f>SUM(J26+L26+N26+P26)</f>
        <v>116999.81</v>
      </c>
      <c r="I26" s="175"/>
      <c r="J26" s="175"/>
      <c r="K26" s="175">
        <f>29232+17052+10716</f>
        <v>57000</v>
      </c>
      <c r="L26" s="175">
        <f>19600+7685.81+1240+2800+1360+3160+480+11600+1520+1720+2000+480+2200+5400+720+1960+4380+1960+7200+1220+5700+15200+3920+514+2100+3760+2820+300</f>
        <v>112999.81</v>
      </c>
      <c r="M26" s="175">
        <f>30768+17948+11284</f>
        <v>60000</v>
      </c>
      <c r="N26" s="175">
        <f>4000</f>
        <v>4000</v>
      </c>
      <c r="O26" s="175"/>
      <c r="P26" s="175"/>
      <c r="Q26" s="175">
        <f>SUM(S26+U26)</f>
        <v>0</v>
      </c>
      <c r="R26" s="175">
        <f>SUM(T26+V26)</f>
        <v>0</v>
      </c>
      <c r="S26" s="175"/>
      <c r="T26" s="175"/>
      <c r="U26" s="175"/>
      <c r="V26" s="175"/>
      <c r="W26" s="175">
        <f>SUM(Y26+AA26)</f>
        <v>0</v>
      </c>
      <c r="X26" s="175">
        <f>SUM(Z26+AB26)</f>
        <v>0</v>
      </c>
      <c r="Y26" s="175"/>
      <c r="Z26" s="175"/>
      <c r="AA26" s="175"/>
      <c r="AB26" s="175"/>
      <c r="AC26" s="175">
        <f>SUM(AE26+AG26)</f>
        <v>0</v>
      </c>
      <c r="AD26" s="175">
        <f>SUM(AF26+AH26)</f>
        <v>0</v>
      </c>
      <c r="AE26" s="175"/>
      <c r="AF26" s="175"/>
      <c r="AG26" s="175"/>
      <c r="AH26" s="175"/>
    </row>
    <row r="27" spans="1:34" s="7" customFormat="1">
      <c r="A27" s="33" t="s">
        <v>38</v>
      </c>
      <c r="B27" s="36" t="s">
        <v>39</v>
      </c>
      <c r="C27" s="35" t="s">
        <v>37</v>
      </c>
      <c r="D27" s="174">
        <f>117000</f>
        <v>117000</v>
      </c>
      <c r="E27" s="157">
        <f t="shared" si="16"/>
        <v>117000</v>
      </c>
      <c r="F27" s="157">
        <f t="shared" si="16"/>
        <v>116999.36</v>
      </c>
      <c r="G27" s="157">
        <f t="shared" si="6"/>
        <v>117000</v>
      </c>
      <c r="H27" s="175">
        <f t="shared" ref="H27:H28" si="17">SUM(J27+L27+N27+P27)</f>
        <v>116999.36</v>
      </c>
      <c r="I27" s="175"/>
      <c r="J27" s="175"/>
      <c r="K27" s="175">
        <f>30768+14870+14362</f>
        <v>60000</v>
      </c>
      <c r="L27" s="175">
        <f>2610+9920+12000+3640+2440+2460+5900+1960+2920+1000+5340+1840+1500+1500+4629.36+360+2700+2660+6100+800+1000+3720+3200+2344+2960+19000+3500+4000</f>
        <v>112003.36</v>
      </c>
      <c r="M27" s="175">
        <f>29232+14130+13638</f>
        <v>57000</v>
      </c>
      <c r="N27" s="175">
        <f>4996</f>
        <v>4996</v>
      </c>
      <c r="O27" s="175"/>
      <c r="P27" s="175"/>
      <c r="Q27" s="175">
        <f t="shared" ref="Q27:Q28" si="18">SUM(S27+U27)</f>
        <v>0</v>
      </c>
      <c r="R27" s="175">
        <f t="shared" ref="R27:R28" si="19">SUM(T27+V27)</f>
        <v>0</v>
      </c>
      <c r="S27" s="175"/>
      <c r="T27" s="175"/>
      <c r="U27" s="175"/>
      <c r="V27" s="175"/>
      <c r="W27" s="175">
        <f t="shared" ref="W27:X28" si="20">SUM(Y27+AA27)</f>
        <v>0</v>
      </c>
      <c r="X27" s="175">
        <f t="shared" si="20"/>
        <v>0</v>
      </c>
      <c r="Y27" s="175"/>
      <c r="Z27" s="175"/>
      <c r="AA27" s="175"/>
      <c r="AB27" s="175"/>
      <c r="AC27" s="175">
        <f t="shared" ref="AC27:AD28" si="21">SUM(AE27+AG27)</f>
        <v>0</v>
      </c>
      <c r="AD27" s="175">
        <f t="shared" si="21"/>
        <v>0</v>
      </c>
      <c r="AE27" s="175"/>
      <c r="AF27" s="175"/>
      <c r="AG27" s="175"/>
      <c r="AH27" s="175"/>
    </row>
    <row r="28" spans="1:34" s="7" customFormat="1">
      <c r="A28" s="30" t="s">
        <v>40</v>
      </c>
      <c r="B28" s="31" t="s">
        <v>41</v>
      </c>
      <c r="C28" s="32" t="s">
        <v>42</v>
      </c>
      <c r="D28" s="170"/>
      <c r="E28" s="157">
        <f t="shared" si="16"/>
        <v>0</v>
      </c>
      <c r="F28" s="157">
        <f t="shared" si="16"/>
        <v>0</v>
      </c>
      <c r="G28" s="157">
        <f t="shared" si="6"/>
        <v>0</v>
      </c>
      <c r="H28" s="175">
        <f t="shared" si="17"/>
        <v>0</v>
      </c>
      <c r="I28" s="171"/>
      <c r="J28" s="171"/>
      <c r="K28" s="171"/>
      <c r="L28" s="171"/>
      <c r="M28" s="171"/>
      <c r="N28" s="171"/>
      <c r="O28" s="171"/>
      <c r="P28" s="171"/>
      <c r="Q28" s="175">
        <f t="shared" si="18"/>
        <v>0</v>
      </c>
      <c r="R28" s="175">
        <f t="shared" si="19"/>
        <v>0</v>
      </c>
      <c r="S28" s="171"/>
      <c r="T28" s="171"/>
      <c r="U28" s="171"/>
      <c r="V28" s="171"/>
      <c r="W28" s="175">
        <f t="shared" si="20"/>
        <v>0</v>
      </c>
      <c r="X28" s="175">
        <f t="shared" si="20"/>
        <v>0</v>
      </c>
      <c r="Y28" s="171"/>
      <c r="Z28" s="171"/>
      <c r="AA28" s="171"/>
      <c r="AB28" s="171"/>
      <c r="AC28" s="175">
        <f t="shared" si="21"/>
        <v>0</v>
      </c>
      <c r="AD28" s="175">
        <f t="shared" si="21"/>
        <v>0</v>
      </c>
      <c r="AE28" s="171"/>
      <c r="AF28" s="171"/>
      <c r="AG28" s="171"/>
      <c r="AH28" s="171"/>
    </row>
    <row r="29" spans="1:34" s="7" customFormat="1" ht="26.25" customHeight="1">
      <c r="A29" s="341" t="s">
        <v>43</v>
      </c>
      <c r="B29" s="342"/>
      <c r="C29" s="16"/>
      <c r="D29" s="162">
        <f>D30+D35+D41</f>
        <v>16081768.289999999</v>
      </c>
      <c r="E29" s="162">
        <f t="shared" ref="E29:AH29" si="22">E30+E35+E41</f>
        <v>16072889.75</v>
      </c>
      <c r="F29" s="162">
        <f t="shared" si="22"/>
        <v>16072729.889999999</v>
      </c>
      <c r="G29" s="162">
        <f t="shared" si="22"/>
        <v>20000</v>
      </c>
      <c r="H29" s="162">
        <f t="shared" si="22"/>
        <v>20000</v>
      </c>
      <c r="I29" s="162">
        <f t="shared" si="22"/>
        <v>0</v>
      </c>
      <c r="J29" s="162">
        <f t="shared" si="22"/>
        <v>0</v>
      </c>
      <c r="K29" s="162">
        <f t="shared" si="22"/>
        <v>12000</v>
      </c>
      <c r="L29" s="162">
        <f t="shared" si="22"/>
        <v>10000</v>
      </c>
      <c r="M29" s="162">
        <f t="shared" si="22"/>
        <v>8000</v>
      </c>
      <c r="N29" s="162">
        <f t="shared" si="22"/>
        <v>10000</v>
      </c>
      <c r="O29" s="162">
        <f t="shared" si="22"/>
        <v>0</v>
      </c>
      <c r="P29" s="162">
        <f t="shared" si="22"/>
        <v>0</v>
      </c>
      <c r="Q29" s="162">
        <f t="shared" si="22"/>
        <v>16052889.75</v>
      </c>
      <c r="R29" s="162">
        <f t="shared" si="22"/>
        <v>16052729.889999999</v>
      </c>
      <c r="S29" s="162">
        <f t="shared" si="22"/>
        <v>0</v>
      </c>
      <c r="T29" s="162">
        <f t="shared" si="22"/>
        <v>0</v>
      </c>
      <c r="U29" s="162">
        <f t="shared" si="22"/>
        <v>16052889.75</v>
      </c>
      <c r="V29" s="162">
        <f t="shared" si="22"/>
        <v>16052729.889999999</v>
      </c>
      <c r="W29" s="162">
        <f t="shared" si="22"/>
        <v>0</v>
      </c>
      <c r="X29" s="162">
        <f t="shared" si="22"/>
        <v>0</v>
      </c>
      <c r="Y29" s="162">
        <f t="shared" si="22"/>
        <v>0</v>
      </c>
      <c r="Z29" s="162">
        <f t="shared" si="22"/>
        <v>0</v>
      </c>
      <c r="AA29" s="162">
        <f t="shared" si="22"/>
        <v>0</v>
      </c>
      <c r="AB29" s="162">
        <f t="shared" si="22"/>
        <v>0</v>
      </c>
      <c r="AC29" s="162">
        <f t="shared" si="22"/>
        <v>0</v>
      </c>
      <c r="AD29" s="162">
        <f t="shared" si="22"/>
        <v>0</v>
      </c>
      <c r="AE29" s="162">
        <f t="shared" si="22"/>
        <v>0</v>
      </c>
      <c r="AF29" s="162">
        <f t="shared" si="22"/>
        <v>0</v>
      </c>
      <c r="AG29" s="162">
        <f t="shared" si="22"/>
        <v>0</v>
      </c>
      <c r="AH29" s="162">
        <f t="shared" si="22"/>
        <v>0</v>
      </c>
    </row>
    <row r="30" spans="1:34" s="7" customFormat="1">
      <c r="A30" s="33" t="s">
        <v>44</v>
      </c>
      <c r="B30" s="34" t="s">
        <v>45</v>
      </c>
      <c r="C30" s="35"/>
      <c r="D30" s="174">
        <f>SUM(D31:D34)</f>
        <v>6415283.2899999991</v>
      </c>
      <c r="E30" s="174">
        <f>SUM(E31:E34)</f>
        <v>6406404.75</v>
      </c>
      <c r="F30" s="174">
        <f t="shared" ref="F30:AH30" si="23">SUM(F31:F34)</f>
        <v>6406244.8899999987</v>
      </c>
      <c r="G30" s="174">
        <f t="shared" si="23"/>
        <v>0</v>
      </c>
      <c r="H30" s="174">
        <f>SUM(H31:H34)</f>
        <v>0</v>
      </c>
      <c r="I30" s="174">
        <f t="shared" si="23"/>
        <v>0</v>
      </c>
      <c r="J30" s="174">
        <f t="shared" si="23"/>
        <v>0</v>
      </c>
      <c r="K30" s="174">
        <f t="shared" si="23"/>
        <v>0</v>
      </c>
      <c r="L30" s="174">
        <f t="shared" si="23"/>
        <v>0</v>
      </c>
      <c r="M30" s="174">
        <f t="shared" si="23"/>
        <v>0</v>
      </c>
      <c r="N30" s="174">
        <f t="shared" si="23"/>
        <v>0</v>
      </c>
      <c r="O30" s="174">
        <f t="shared" si="23"/>
        <v>0</v>
      </c>
      <c r="P30" s="174">
        <f t="shared" si="23"/>
        <v>0</v>
      </c>
      <c r="Q30" s="174">
        <f t="shared" si="23"/>
        <v>6406404.75</v>
      </c>
      <c r="R30" s="174">
        <f t="shared" si="23"/>
        <v>6406244.8899999987</v>
      </c>
      <c r="S30" s="174">
        <f t="shared" si="23"/>
        <v>0</v>
      </c>
      <c r="T30" s="174">
        <f t="shared" si="23"/>
        <v>0</v>
      </c>
      <c r="U30" s="174">
        <f t="shared" si="23"/>
        <v>6406404.75</v>
      </c>
      <c r="V30" s="174">
        <f t="shared" si="23"/>
        <v>6406244.8899999987</v>
      </c>
      <c r="W30" s="174">
        <f t="shared" si="23"/>
        <v>0</v>
      </c>
      <c r="X30" s="174">
        <f t="shared" si="23"/>
        <v>0</v>
      </c>
      <c r="Y30" s="174">
        <f t="shared" si="23"/>
        <v>0</v>
      </c>
      <c r="Z30" s="174">
        <f t="shared" si="23"/>
        <v>0</v>
      </c>
      <c r="AA30" s="174">
        <f t="shared" si="23"/>
        <v>0</v>
      </c>
      <c r="AB30" s="174">
        <f t="shared" si="23"/>
        <v>0</v>
      </c>
      <c r="AC30" s="174">
        <f>SUM(AC31:AC34)</f>
        <v>0</v>
      </c>
      <c r="AD30" s="174">
        <f t="shared" si="23"/>
        <v>0</v>
      </c>
      <c r="AE30" s="174">
        <f t="shared" si="23"/>
        <v>0</v>
      </c>
      <c r="AF30" s="174">
        <f t="shared" si="23"/>
        <v>0</v>
      </c>
      <c r="AG30" s="174">
        <f t="shared" si="23"/>
        <v>0</v>
      </c>
      <c r="AH30" s="174">
        <f t="shared" si="23"/>
        <v>0</v>
      </c>
    </row>
    <row r="31" spans="1:34" s="40" customFormat="1">
      <c r="A31" s="37"/>
      <c r="B31" s="38" t="s">
        <v>46</v>
      </c>
      <c r="C31" s="39" t="s">
        <v>47</v>
      </c>
      <c r="D31" s="177">
        <f>5369900-70-24-351-48.54-187.19</f>
        <v>5369219.2699999996</v>
      </c>
      <c r="E31" s="157">
        <f t="shared" ref="E31:F34" si="24">G31+Q31+W31+AC31</f>
        <v>5360340.7299999995</v>
      </c>
      <c r="F31" s="157">
        <f t="shared" si="24"/>
        <v>5360299.2199999988</v>
      </c>
      <c r="G31" s="157">
        <f>I31+K31+M31+O31</f>
        <v>0</v>
      </c>
      <c r="H31" s="157">
        <f>J31+L31+N31+P31</f>
        <v>0</v>
      </c>
      <c r="I31" s="176"/>
      <c r="J31" s="176"/>
      <c r="K31" s="176"/>
      <c r="L31" s="176"/>
      <c r="M31" s="176"/>
      <c r="N31" s="176"/>
      <c r="O31" s="176"/>
      <c r="P31" s="176"/>
      <c r="Q31" s="178">
        <f>SUM(S31+U31)</f>
        <v>5360340.7299999995</v>
      </c>
      <c r="R31" s="178">
        <f>SUM(T31+V31)</f>
        <v>5360299.2199999988</v>
      </c>
      <c r="S31" s="176"/>
      <c r="T31" s="176"/>
      <c r="U31" s="176">
        <f>5361021.46-70-24-351-48.54-187.19</f>
        <v>5360340.7299999995</v>
      </c>
      <c r="V31" s="176">
        <f>110+7250+4245+11485+175+19575+9330+110+15950+5800+3370+110+7250+4245+110+21750+12735+220+11510+220+22999.2+550+22940+11550+22990+12315+220+22200+22200+29600+16395+22200+220+12315+34485+220+12315+22200+220+1260+220+12315+220+1200+150+42426+5200.73+114550.2+10401.46+93337.2+5200.73+5200.73+33940.8+42426+5200.73+34485+210+127278+10401.46+100+10401.46+127278+10401.46+127278+11550+22940+220+127278+10401.46+220+10401.46+127278+10401.46+127278+10401.46+220+11550+22940+390+127278+10401.46+127278+10401.46+57208.03+29260+61600+10401.46+127278+10401.46+84852+5200.73+127278+10401.46+169704+10401.46+127278+21252+8835+8835+11780+8835+8835+2945+7951.5+6479+2356+2945+5890+8835+8835+8835+2898+8835+3990+8400+8835+8835+48936+132127.2+107659.2+39148.8+48936+8835+146808+195744+146808+97872+146808+146808+146808+146808+10626+146808+146808+14630+30800+146808+146808+146808</f>
        <v>5360299.2199999988</v>
      </c>
      <c r="W31" s="178">
        <f>SUM(Y31+AA31)</f>
        <v>0</v>
      </c>
      <c r="X31" s="178">
        <f>SUM(Z31+AB31)</f>
        <v>0</v>
      </c>
      <c r="Y31" s="176"/>
      <c r="Z31" s="176"/>
      <c r="AA31" s="176"/>
      <c r="AB31" s="176"/>
      <c r="AC31" s="178">
        <f t="shared" ref="AC31:AD32" si="25">SUM(AE31+AG31)</f>
        <v>0</v>
      </c>
      <c r="AD31" s="178">
        <f t="shared" si="25"/>
        <v>0</v>
      </c>
      <c r="AE31" s="176"/>
      <c r="AF31" s="176"/>
      <c r="AG31" s="176"/>
      <c r="AH31" s="176"/>
    </row>
    <row r="32" spans="1:34" s="43" customFormat="1">
      <c r="A32" s="41"/>
      <c r="B32" s="38" t="s">
        <v>48</v>
      </c>
      <c r="C32" s="42" t="s">
        <v>42</v>
      </c>
      <c r="D32" s="177"/>
      <c r="E32" s="157">
        <f t="shared" si="24"/>
        <v>0</v>
      </c>
      <c r="F32" s="157">
        <f t="shared" si="24"/>
        <v>0</v>
      </c>
      <c r="G32" s="157">
        <f t="shared" ref="G32:H34" si="26">I32+K32+M32+O32</f>
        <v>0</v>
      </c>
      <c r="H32" s="157">
        <f t="shared" si="26"/>
        <v>0</v>
      </c>
      <c r="I32" s="178"/>
      <c r="J32" s="178"/>
      <c r="K32" s="178"/>
      <c r="L32" s="178"/>
      <c r="M32" s="178"/>
      <c r="N32" s="178"/>
      <c r="O32" s="178"/>
      <c r="P32" s="178"/>
      <c r="Q32" s="178">
        <f t="shared" ref="Q32:R34" si="27">SUM(S32+U32)</f>
        <v>0</v>
      </c>
      <c r="R32" s="178">
        <f t="shared" si="27"/>
        <v>0</v>
      </c>
      <c r="S32" s="178"/>
      <c r="T32" s="178"/>
      <c r="U32" s="178"/>
      <c r="V32" s="178"/>
      <c r="W32" s="178">
        <f t="shared" ref="W32:X34" si="28">SUM(Y32+AA32)</f>
        <v>0</v>
      </c>
      <c r="X32" s="178">
        <f t="shared" si="28"/>
        <v>0</v>
      </c>
      <c r="Y32" s="178"/>
      <c r="Z32" s="178"/>
      <c r="AA32" s="178"/>
      <c r="AB32" s="178"/>
      <c r="AC32" s="178">
        <f t="shared" si="25"/>
        <v>0</v>
      </c>
      <c r="AD32" s="178">
        <f t="shared" si="25"/>
        <v>0</v>
      </c>
      <c r="AE32" s="178"/>
      <c r="AF32" s="178"/>
      <c r="AG32" s="178"/>
      <c r="AH32" s="178"/>
    </row>
    <row r="33" spans="1:34" s="43" customFormat="1">
      <c r="A33" s="41"/>
      <c r="B33" s="38" t="s">
        <v>49</v>
      </c>
      <c r="C33" s="42" t="s">
        <v>50</v>
      </c>
      <c r="D33" s="177">
        <f>49000+53900</f>
        <v>102900</v>
      </c>
      <c r="E33" s="157">
        <f t="shared" si="24"/>
        <v>102900</v>
      </c>
      <c r="F33" s="157">
        <f t="shared" si="24"/>
        <v>102887.28</v>
      </c>
      <c r="G33" s="157">
        <f t="shared" si="26"/>
        <v>0</v>
      </c>
      <c r="H33" s="157">
        <f t="shared" si="26"/>
        <v>0</v>
      </c>
      <c r="I33" s="178"/>
      <c r="J33" s="178"/>
      <c r="K33" s="178"/>
      <c r="L33" s="178"/>
      <c r="M33" s="178"/>
      <c r="N33" s="178"/>
      <c r="O33" s="178"/>
      <c r="P33" s="178"/>
      <c r="Q33" s="178">
        <f t="shared" si="27"/>
        <v>102900</v>
      </c>
      <c r="R33" s="178">
        <f t="shared" si="27"/>
        <v>102887.28</v>
      </c>
      <c r="S33" s="178"/>
      <c r="T33" s="178"/>
      <c r="U33" s="178">
        <f>102900</f>
        <v>102900</v>
      </c>
      <c r="V33" s="178">
        <f>3900+4493.28+9890+14210+14000+16240+20000+10154+10000</f>
        <v>102887.28</v>
      </c>
      <c r="W33" s="178">
        <f t="shared" si="28"/>
        <v>0</v>
      </c>
      <c r="X33" s="178">
        <f t="shared" si="28"/>
        <v>0</v>
      </c>
      <c r="Y33" s="178"/>
      <c r="Z33" s="178"/>
      <c r="AA33" s="178"/>
      <c r="AB33" s="178"/>
      <c r="AC33" s="178">
        <f>SUM(AE33+AG33)</f>
        <v>0</v>
      </c>
      <c r="AD33" s="178">
        <f>SUM(AF33+AH33)</f>
        <v>0</v>
      </c>
      <c r="AE33" s="178"/>
      <c r="AF33" s="178"/>
      <c r="AG33" s="178"/>
      <c r="AH33" s="178"/>
    </row>
    <row r="34" spans="1:34" s="43" customFormat="1">
      <c r="A34" s="41"/>
      <c r="B34" s="38" t="s">
        <v>51</v>
      </c>
      <c r="C34" s="42" t="s">
        <v>52</v>
      </c>
      <c r="D34" s="177">
        <f>943200-3-23-2.6-7.38</f>
        <v>943164.02</v>
      </c>
      <c r="E34" s="157">
        <f t="shared" si="24"/>
        <v>943164.02</v>
      </c>
      <c r="F34" s="157">
        <f t="shared" si="24"/>
        <v>943058.39</v>
      </c>
      <c r="G34" s="157">
        <f t="shared" si="26"/>
        <v>0</v>
      </c>
      <c r="H34" s="157">
        <f t="shared" si="26"/>
        <v>0</v>
      </c>
      <c r="I34" s="178"/>
      <c r="J34" s="178"/>
      <c r="K34" s="178"/>
      <c r="L34" s="178"/>
      <c r="M34" s="178"/>
      <c r="N34" s="178"/>
      <c r="O34" s="178"/>
      <c r="P34" s="178"/>
      <c r="Q34" s="178">
        <f t="shared" si="27"/>
        <v>943164.02</v>
      </c>
      <c r="R34" s="178">
        <f t="shared" si="27"/>
        <v>943058.39</v>
      </c>
      <c r="S34" s="178"/>
      <c r="T34" s="178"/>
      <c r="U34" s="178">
        <f>943200-3-23-2.6-7.38</f>
        <v>943164.02</v>
      </c>
      <c r="V34" s="178">
        <f>5505+12745+29055+139101.93+10740+345+195+972.52+117203.4+22050+10345+54683+3730+31088.85+67199+3500+58510.81+19668+21044.76+29055+9702+56620+913.62+54683+2800+39634+1540+60+19668+1232+45+20338.5+47039.3+38278.1+13767.6</f>
        <v>943058.39</v>
      </c>
      <c r="W34" s="178">
        <f t="shared" si="28"/>
        <v>0</v>
      </c>
      <c r="X34" s="178">
        <f t="shared" si="28"/>
        <v>0</v>
      </c>
      <c r="Y34" s="178"/>
      <c r="Z34" s="178"/>
      <c r="AA34" s="178"/>
      <c r="AB34" s="178"/>
      <c r="AC34" s="178">
        <f>SUM(AE34+AG34)</f>
        <v>0</v>
      </c>
      <c r="AD34" s="178">
        <f>SUM(AF34+AH34)</f>
        <v>0</v>
      </c>
      <c r="AE34" s="178"/>
      <c r="AF34" s="178"/>
      <c r="AG34" s="178"/>
      <c r="AH34" s="178"/>
    </row>
    <row r="35" spans="1:34" s="7" customFormat="1">
      <c r="A35" s="33" t="s">
        <v>53</v>
      </c>
      <c r="B35" s="34" t="s">
        <v>54</v>
      </c>
      <c r="C35" s="35"/>
      <c r="D35" s="174">
        <f>SUM(D36:D40)</f>
        <v>9451485</v>
      </c>
      <c r="E35" s="174">
        <f t="shared" ref="E35:AH35" si="29">SUM(E36:E40)</f>
        <v>9451485</v>
      </c>
      <c r="F35" s="174">
        <f t="shared" si="29"/>
        <v>9451485</v>
      </c>
      <c r="G35" s="174">
        <f t="shared" si="29"/>
        <v>20000</v>
      </c>
      <c r="H35" s="174">
        <f>SUM(H36:H40)</f>
        <v>20000</v>
      </c>
      <c r="I35" s="174">
        <f t="shared" si="29"/>
        <v>0</v>
      </c>
      <c r="J35" s="174">
        <f t="shared" si="29"/>
        <v>0</v>
      </c>
      <c r="K35" s="174">
        <f t="shared" si="29"/>
        <v>12000</v>
      </c>
      <c r="L35" s="174">
        <f t="shared" si="29"/>
        <v>10000</v>
      </c>
      <c r="M35" s="174">
        <f t="shared" si="29"/>
        <v>8000</v>
      </c>
      <c r="N35" s="174">
        <f t="shared" si="29"/>
        <v>10000</v>
      </c>
      <c r="O35" s="174">
        <f t="shared" si="29"/>
        <v>0</v>
      </c>
      <c r="P35" s="174">
        <f t="shared" si="29"/>
        <v>0</v>
      </c>
      <c r="Q35" s="174">
        <f t="shared" si="29"/>
        <v>9431485</v>
      </c>
      <c r="R35" s="174">
        <f t="shared" si="29"/>
        <v>9431485</v>
      </c>
      <c r="S35" s="174">
        <f t="shared" si="29"/>
        <v>0</v>
      </c>
      <c r="T35" s="174">
        <f t="shared" si="29"/>
        <v>0</v>
      </c>
      <c r="U35" s="174">
        <f t="shared" si="29"/>
        <v>9431485</v>
      </c>
      <c r="V35" s="174">
        <f t="shared" si="29"/>
        <v>9431485</v>
      </c>
      <c r="W35" s="174">
        <f t="shared" si="29"/>
        <v>0</v>
      </c>
      <c r="X35" s="174">
        <f t="shared" si="29"/>
        <v>0</v>
      </c>
      <c r="Y35" s="174">
        <f t="shared" si="29"/>
        <v>0</v>
      </c>
      <c r="Z35" s="174">
        <f t="shared" si="29"/>
        <v>0</v>
      </c>
      <c r="AA35" s="174">
        <f t="shared" si="29"/>
        <v>0</v>
      </c>
      <c r="AB35" s="174">
        <f t="shared" si="29"/>
        <v>0</v>
      </c>
      <c r="AC35" s="174">
        <f t="shared" si="29"/>
        <v>0</v>
      </c>
      <c r="AD35" s="174">
        <f t="shared" si="29"/>
        <v>0</v>
      </c>
      <c r="AE35" s="174">
        <f t="shared" si="29"/>
        <v>0</v>
      </c>
      <c r="AF35" s="174">
        <f t="shared" si="29"/>
        <v>0</v>
      </c>
      <c r="AG35" s="174">
        <f t="shared" si="29"/>
        <v>0</v>
      </c>
      <c r="AH35" s="174">
        <f t="shared" si="29"/>
        <v>0</v>
      </c>
    </row>
    <row r="36" spans="1:34" s="43" customFormat="1">
      <c r="A36" s="41"/>
      <c r="B36" s="38" t="s">
        <v>55</v>
      </c>
      <c r="C36" s="42" t="s">
        <v>47</v>
      </c>
      <c r="D36" s="177">
        <f>10000+7534800+10000-25-60-70-100</f>
        <v>7554545</v>
      </c>
      <c r="E36" s="157">
        <f t="shared" ref="E36:F41" si="30">G36+Q36+W36+AC36</f>
        <v>7554545</v>
      </c>
      <c r="F36" s="157">
        <f t="shared" si="30"/>
        <v>7554545</v>
      </c>
      <c r="G36" s="157">
        <f t="shared" ref="G36:H41" si="31">I36+K36+M36+O36</f>
        <v>20000</v>
      </c>
      <c r="H36" s="157">
        <f>J36+L36+N36+P36</f>
        <v>20000</v>
      </c>
      <c r="I36" s="178"/>
      <c r="J36" s="178"/>
      <c r="K36" s="178">
        <f>6000+6000</f>
        <v>12000</v>
      </c>
      <c r="L36" s="178">
        <f>10000</f>
        <v>10000</v>
      </c>
      <c r="M36" s="178">
        <f>4000+4000</f>
        <v>8000</v>
      </c>
      <c r="N36" s="178">
        <f>10000</f>
        <v>10000</v>
      </c>
      <c r="O36" s="178"/>
      <c r="P36" s="178"/>
      <c r="Q36" s="178">
        <f>SUM(S36+U36)</f>
        <v>7534545</v>
      </c>
      <c r="R36" s="178">
        <f>SUM(T36+V36)</f>
        <v>7534545</v>
      </c>
      <c r="S36" s="178"/>
      <c r="T36" s="178"/>
      <c r="U36" s="178">
        <f>7534800-25-60-70-100</f>
        <v>7534545</v>
      </c>
      <c r="V36" s="178">
        <f>137050+103450+55400+33400+425450+127850+11900+21100+71500+105095+54000+12000+180000+23095+102100+16600+41100+150000+57000+18550+6750+120000+39100+28375+88350+102650+85090+74000+17100+18012+37100+154000+93240+252525+36910+167055+167055+36910+113190+27338+7800+34800+155400+36910+167055+36910+167055+36910+188100+74000+64980+64980+85500+64980+190920+42180+288600+106560+42180+190920+42180+190920+42180+64750+190920+42180+177600+66600+180375+125400+46250+57000+119325+26360+43320+119325+26360+43320+43320+119325+26360+111000+26360+119325+26360</f>
        <v>7534545</v>
      </c>
      <c r="W36" s="178">
        <f t="shared" ref="W36:W41" si="32">SUM(Y36+AA36)</f>
        <v>0</v>
      </c>
      <c r="X36" s="178">
        <f t="shared" ref="X36:X41" si="33">SUM(Z36+AB36)</f>
        <v>0</v>
      </c>
      <c r="Y36" s="178"/>
      <c r="Z36" s="178"/>
      <c r="AA36" s="178"/>
      <c r="AB36" s="178"/>
      <c r="AC36" s="178">
        <f t="shared" ref="AC36:AD41" si="34">SUM(AE36+AG36)</f>
        <v>0</v>
      </c>
      <c r="AD36" s="178">
        <f t="shared" si="34"/>
        <v>0</v>
      </c>
      <c r="AE36" s="178"/>
      <c r="AF36" s="178"/>
      <c r="AG36" s="178"/>
      <c r="AH36" s="178"/>
    </row>
    <row r="37" spans="1:34" s="43" customFormat="1">
      <c r="A37" s="41"/>
      <c r="B37" s="38" t="s">
        <v>56</v>
      </c>
      <c r="C37" s="42" t="s">
        <v>42</v>
      </c>
      <c r="D37" s="177"/>
      <c r="E37" s="157">
        <f t="shared" si="30"/>
        <v>0</v>
      </c>
      <c r="F37" s="157">
        <f t="shared" si="30"/>
        <v>0</v>
      </c>
      <c r="G37" s="157">
        <f t="shared" si="31"/>
        <v>0</v>
      </c>
      <c r="H37" s="157">
        <f t="shared" si="31"/>
        <v>0</v>
      </c>
      <c r="I37" s="178"/>
      <c r="J37" s="178"/>
      <c r="K37" s="178"/>
      <c r="L37" s="178"/>
      <c r="M37" s="178"/>
      <c r="N37" s="178"/>
      <c r="O37" s="178"/>
      <c r="P37" s="178"/>
      <c r="Q37" s="178">
        <f t="shared" ref="Q37:R41" si="35">SUM(S37+U37)</f>
        <v>0</v>
      </c>
      <c r="R37" s="178">
        <f t="shared" si="35"/>
        <v>0</v>
      </c>
      <c r="S37" s="178"/>
      <c r="T37" s="178"/>
      <c r="U37" s="178"/>
      <c r="V37" s="178"/>
      <c r="W37" s="178">
        <f t="shared" si="32"/>
        <v>0</v>
      </c>
      <c r="X37" s="178">
        <f t="shared" si="33"/>
        <v>0</v>
      </c>
      <c r="Y37" s="178"/>
      <c r="Z37" s="178"/>
      <c r="AA37" s="178"/>
      <c r="AB37" s="178"/>
      <c r="AC37" s="178">
        <f t="shared" si="34"/>
        <v>0</v>
      </c>
      <c r="AD37" s="178">
        <f t="shared" si="34"/>
        <v>0</v>
      </c>
      <c r="AE37" s="178"/>
      <c r="AF37" s="178"/>
      <c r="AG37" s="178"/>
      <c r="AH37" s="178"/>
    </row>
    <row r="38" spans="1:34" s="43" customFormat="1">
      <c r="A38" s="41"/>
      <c r="B38" s="38" t="s">
        <v>57</v>
      </c>
      <c r="C38" s="42" t="s">
        <v>50</v>
      </c>
      <c r="D38" s="177">
        <f>299200+315700+305600+305600+461000-40</f>
        <v>1687060</v>
      </c>
      <c r="E38" s="157">
        <f t="shared" si="30"/>
        <v>1687060</v>
      </c>
      <c r="F38" s="157">
        <f t="shared" si="30"/>
        <v>1687060</v>
      </c>
      <c r="G38" s="157">
        <f t="shared" si="31"/>
        <v>0</v>
      </c>
      <c r="H38" s="157">
        <f t="shared" si="31"/>
        <v>0</v>
      </c>
      <c r="I38" s="177"/>
      <c r="J38" s="177"/>
      <c r="K38" s="177"/>
      <c r="L38" s="177"/>
      <c r="M38" s="177"/>
      <c r="N38" s="177"/>
      <c r="O38" s="177"/>
      <c r="P38" s="177"/>
      <c r="Q38" s="178">
        <f t="shared" si="35"/>
        <v>1687060</v>
      </c>
      <c r="R38" s="178">
        <f t="shared" si="35"/>
        <v>1687060</v>
      </c>
      <c r="S38" s="177"/>
      <c r="T38" s="177"/>
      <c r="U38" s="177">
        <f>1687100-40</f>
        <v>1687060</v>
      </c>
      <c r="V38" s="177">
        <f>16250+6850+13910+13150+23850+22500+39000+37000+100600+54850+40215+33785+22150+17640+6000+9400+19360+16150+59300+30000+10000+37000+100600+28500+40000+50000+15840+38850+25000+30000+5000+10000+30000+15000+77000+30000+15000+4000+44400+34200+45000+25000+51000+8600+17750+10560+51000+17750+27750+22800+26000+28500+38000+95000</f>
        <v>1687060</v>
      </c>
      <c r="W38" s="178">
        <f t="shared" si="32"/>
        <v>0</v>
      </c>
      <c r="X38" s="178">
        <f t="shared" si="33"/>
        <v>0</v>
      </c>
      <c r="Y38" s="177"/>
      <c r="Z38" s="177"/>
      <c r="AA38" s="177"/>
      <c r="AB38" s="177"/>
      <c r="AC38" s="178">
        <f t="shared" si="34"/>
        <v>0</v>
      </c>
      <c r="AD38" s="178">
        <f t="shared" si="34"/>
        <v>0</v>
      </c>
      <c r="AE38" s="177"/>
      <c r="AF38" s="177"/>
      <c r="AG38" s="177"/>
      <c r="AH38" s="177"/>
    </row>
    <row r="39" spans="1:34" s="43" customFormat="1">
      <c r="A39" s="41"/>
      <c r="B39" s="38" t="s">
        <v>58</v>
      </c>
      <c r="C39" s="42" t="s">
        <v>52</v>
      </c>
      <c r="D39" s="177">
        <f>44400</f>
        <v>44400</v>
      </c>
      <c r="E39" s="157">
        <f t="shared" si="30"/>
        <v>44400</v>
      </c>
      <c r="F39" s="157">
        <f t="shared" si="30"/>
        <v>44400</v>
      </c>
      <c r="G39" s="157">
        <f t="shared" si="31"/>
        <v>0</v>
      </c>
      <c r="H39" s="157">
        <f t="shared" si="31"/>
        <v>0</v>
      </c>
      <c r="I39" s="178"/>
      <c r="J39" s="178"/>
      <c r="K39" s="178"/>
      <c r="L39" s="178"/>
      <c r="M39" s="178"/>
      <c r="N39" s="178"/>
      <c r="O39" s="178"/>
      <c r="P39" s="178"/>
      <c r="Q39" s="178">
        <f t="shared" si="35"/>
        <v>44400</v>
      </c>
      <c r="R39" s="178">
        <f t="shared" si="35"/>
        <v>44400</v>
      </c>
      <c r="S39" s="178"/>
      <c r="T39" s="178"/>
      <c r="U39" s="177">
        <f>44400</f>
        <v>44400</v>
      </c>
      <c r="V39" s="178">
        <f>11100+11655+13320+8325</f>
        <v>44400</v>
      </c>
      <c r="W39" s="178">
        <f t="shared" si="32"/>
        <v>0</v>
      </c>
      <c r="X39" s="178">
        <f t="shared" si="33"/>
        <v>0</v>
      </c>
      <c r="Y39" s="178"/>
      <c r="Z39" s="178"/>
      <c r="AA39" s="178"/>
      <c r="AB39" s="178"/>
      <c r="AC39" s="178">
        <f t="shared" si="34"/>
        <v>0</v>
      </c>
      <c r="AD39" s="178">
        <f t="shared" si="34"/>
        <v>0</v>
      </c>
      <c r="AE39" s="178"/>
      <c r="AF39" s="178"/>
      <c r="AG39" s="178"/>
      <c r="AH39" s="178"/>
    </row>
    <row r="40" spans="1:34" s="43" customFormat="1">
      <c r="A40" s="41"/>
      <c r="B40" s="38" t="s">
        <v>59</v>
      </c>
      <c r="C40" s="42" t="s">
        <v>52</v>
      </c>
      <c r="D40" s="177">
        <f>165500-20</f>
        <v>165480</v>
      </c>
      <c r="E40" s="157">
        <f t="shared" si="30"/>
        <v>165480</v>
      </c>
      <c r="F40" s="157">
        <f t="shared" si="30"/>
        <v>165480</v>
      </c>
      <c r="G40" s="157">
        <f t="shared" si="31"/>
        <v>0</v>
      </c>
      <c r="H40" s="157">
        <f t="shared" si="31"/>
        <v>0</v>
      </c>
      <c r="I40" s="178"/>
      <c r="J40" s="178"/>
      <c r="K40" s="178"/>
      <c r="L40" s="178"/>
      <c r="M40" s="178"/>
      <c r="N40" s="178"/>
      <c r="O40" s="178"/>
      <c r="P40" s="178"/>
      <c r="Q40" s="178">
        <f t="shared" si="35"/>
        <v>165480</v>
      </c>
      <c r="R40" s="178">
        <f t="shared" si="35"/>
        <v>165480</v>
      </c>
      <c r="S40" s="178"/>
      <c r="T40" s="178"/>
      <c r="U40" s="178">
        <f>165500-20</f>
        <v>165480</v>
      </c>
      <c r="V40" s="178">
        <f>77280+28350+20950+38900</f>
        <v>165480</v>
      </c>
      <c r="W40" s="178">
        <f t="shared" si="32"/>
        <v>0</v>
      </c>
      <c r="X40" s="178">
        <f t="shared" si="33"/>
        <v>0</v>
      </c>
      <c r="Y40" s="178"/>
      <c r="Z40" s="178"/>
      <c r="AA40" s="178"/>
      <c r="AB40" s="178"/>
      <c r="AC40" s="178">
        <f t="shared" si="34"/>
        <v>0</v>
      </c>
      <c r="AD40" s="178">
        <f t="shared" si="34"/>
        <v>0</v>
      </c>
      <c r="AE40" s="178"/>
      <c r="AF40" s="178"/>
      <c r="AG40" s="178"/>
      <c r="AH40" s="178"/>
    </row>
    <row r="41" spans="1:34" s="47" customFormat="1">
      <c r="A41" s="44" t="s">
        <v>60</v>
      </c>
      <c r="B41" s="45" t="s">
        <v>61</v>
      </c>
      <c r="C41" s="46" t="s">
        <v>47</v>
      </c>
      <c r="D41" s="174">
        <f>215000</f>
        <v>215000</v>
      </c>
      <c r="E41" s="157">
        <f t="shared" si="30"/>
        <v>215000</v>
      </c>
      <c r="F41" s="157">
        <f t="shared" si="30"/>
        <v>215000</v>
      </c>
      <c r="G41" s="157">
        <f>I41+K41+M41+O41</f>
        <v>0</v>
      </c>
      <c r="H41" s="157">
        <f t="shared" si="31"/>
        <v>0</v>
      </c>
      <c r="I41" s="156"/>
      <c r="J41" s="156"/>
      <c r="K41" s="156"/>
      <c r="L41" s="156"/>
      <c r="M41" s="156"/>
      <c r="N41" s="156"/>
      <c r="O41" s="156"/>
      <c r="P41" s="156"/>
      <c r="Q41" s="175">
        <f t="shared" si="35"/>
        <v>215000</v>
      </c>
      <c r="R41" s="178">
        <f t="shared" si="35"/>
        <v>215000</v>
      </c>
      <c r="S41" s="156"/>
      <c r="T41" s="156"/>
      <c r="U41" s="156">
        <f>215000</f>
        <v>215000</v>
      </c>
      <c r="V41" s="156">
        <f>107500+107500</f>
        <v>215000</v>
      </c>
      <c r="W41" s="178">
        <f t="shared" si="32"/>
        <v>0</v>
      </c>
      <c r="X41" s="178">
        <f t="shared" si="33"/>
        <v>0</v>
      </c>
      <c r="Y41" s="156"/>
      <c r="Z41" s="156"/>
      <c r="AA41" s="156"/>
      <c r="AB41" s="156"/>
      <c r="AC41" s="178">
        <f t="shared" si="34"/>
        <v>0</v>
      </c>
      <c r="AD41" s="178">
        <f t="shared" si="34"/>
        <v>0</v>
      </c>
      <c r="AE41" s="156"/>
      <c r="AF41" s="156"/>
      <c r="AG41" s="156"/>
      <c r="AH41" s="156"/>
    </row>
    <row r="42" spans="1:34" s="7" customFormat="1" ht="25.5" customHeight="1">
      <c r="A42" s="341" t="s">
        <v>62</v>
      </c>
      <c r="B42" s="342"/>
      <c r="C42" s="16"/>
      <c r="D42" s="173">
        <f>SUM(D43:D48)</f>
        <v>6317400</v>
      </c>
      <c r="E42" s="173">
        <f t="shared" ref="E42:AH42" si="36">SUM(E43:E48)</f>
        <v>6317400</v>
      </c>
      <c r="F42" s="173">
        <f t="shared" si="36"/>
        <v>6317391.3900000006</v>
      </c>
      <c r="G42" s="173">
        <f t="shared" si="36"/>
        <v>3751400</v>
      </c>
      <c r="H42" s="173">
        <f t="shared" si="36"/>
        <v>3751391.39</v>
      </c>
      <c r="I42" s="173">
        <f t="shared" si="36"/>
        <v>0</v>
      </c>
      <c r="J42" s="173">
        <f t="shared" si="36"/>
        <v>0</v>
      </c>
      <c r="K42" s="173">
        <f t="shared" si="36"/>
        <v>2046400</v>
      </c>
      <c r="L42" s="173">
        <f t="shared" si="36"/>
        <v>2970690.23</v>
      </c>
      <c r="M42" s="173">
        <f t="shared" si="36"/>
        <v>1705000</v>
      </c>
      <c r="N42" s="173">
        <f t="shared" si="36"/>
        <v>609722</v>
      </c>
      <c r="O42" s="173">
        <f t="shared" si="36"/>
        <v>0</v>
      </c>
      <c r="P42" s="173">
        <f t="shared" si="36"/>
        <v>170979.15999999997</v>
      </c>
      <c r="Q42" s="173">
        <f t="shared" si="36"/>
        <v>2566000</v>
      </c>
      <c r="R42" s="173">
        <f t="shared" si="36"/>
        <v>2566000</v>
      </c>
      <c r="S42" s="173">
        <f t="shared" si="36"/>
        <v>0</v>
      </c>
      <c r="T42" s="173">
        <f t="shared" si="36"/>
        <v>0</v>
      </c>
      <c r="U42" s="173">
        <f t="shared" si="36"/>
        <v>2566000</v>
      </c>
      <c r="V42" s="173">
        <f t="shared" si="36"/>
        <v>2566000</v>
      </c>
      <c r="W42" s="173">
        <f t="shared" si="36"/>
        <v>0</v>
      </c>
      <c r="X42" s="173">
        <f t="shared" si="36"/>
        <v>0</v>
      </c>
      <c r="Y42" s="173">
        <f t="shared" si="36"/>
        <v>0</v>
      </c>
      <c r="Z42" s="173">
        <f t="shared" si="36"/>
        <v>0</v>
      </c>
      <c r="AA42" s="173">
        <f t="shared" si="36"/>
        <v>0</v>
      </c>
      <c r="AB42" s="173">
        <f t="shared" si="36"/>
        <v>0</v>
      </c>
      <c r="AC42" s="173">
        <f t="shared" si="36"/>
        <v>0</v>
      </c>
      <c r="AD42" s="173">
        <f t="shared" si="36"/>
        <v>0</v>
      </c>
      <c r="AE42" s="173">
        <f t="shared" si="36"/>
        <v>0</v>
      </c>
      <c r="AF42" s="173">
        <f t="shared" si="36"/>
        <v>0</v>
      </c>
      <c r="AG42" s="173">
        <f t="shared" si="36"/>
        <v>0</v>
      </c>
      <c r="AH42" s="173">
        <f t="shared" si="36"/>
        <v>0</v>
      </c>
    </row>
    <row r="43" spans="1:34" s="7" customFormat="1">
      <c r="A43" s="27" t="s">
        <v>63</v>
      </c>
      <c r="B43" s="28" t="s">
        <v>64</v>
      </c>
      <c r="C43" s="29" t="s">
        <v>42</v>
      </c>
      <c r="D43" s="169">
        <f>45000</f>
        <v>45000</v>
      </c>
      <c r="E43" s="157">
        <f t="shared" ref="E43:F48" si="37">G43+Q43+W43+AC43</f>
        <v>45000</v>
      </c>
      <c r="F43" s="157">
        <f t="shared" si="37"/>
        <v>45000</v>
      </c>
      <c r="G43" s="157">
        <f t="shared" ref="G43:G48" si="38">I43+K43+M43+O43</f>
        <v>45000</v>
      </c>
      <c r="H43" s="157">
        <f>SUM(J43+L43+N43+P43)</f>
        <v>45000</v>
      </c>
      <c r="I43" s="157"/>
      <c r="J43" s="157"/>
      <c r="K43" s="157">
        <f>13200+6000+10800</f>
        <v>30000</v>
      </c>
      <c r="L43" s="157">
        <f>2100+3920+7600+1720+3580+980+2100+7500+1500+14000</f>
        <v>45000</v>
      </c>
      <c r="M43" s="157">
        <f>6600+3000+5400</f>
        <v>15000</v>
      </c>
      <c r="N43" s="157"/>
      <c r="O43" s="157"/>
      <c r="P43" s="157"/>
      <c r="Q43" s="157">
        <f>SUM(S43+U43)</f>
        <v>0</v>
      </c>
      <c r="R43" s="157">
        <f>SUM(T43+V43)</f>
        <v>0</v>
      </c>
      <c r="S43" s="157"/>
      <c r="T43" s="157"/>
      <c r="U43" s="157"/>
      <c r="V43" s="157"/>
      <c r="W43" s="157">
        <f>SUM(Y43+AA43)</f>
        <v>0</v>
      </c>
      <c r="X43" s="157">
        <f>SUM(Z43+AB43)</f>
        <v>0</v>
      </c>
      <c r="Y43" s="157"/>
      <c r="Z43" s="157"/>
      <c r="AA43" s="157"/>
      <c r="AB43" s="157"/>
      <c r="AC43" s="157">
        <f>SUM(AE43+AG43)</f>
        <v>0</v>
      </c>
      <c r="AD43" s="157">
        <f>SUM(AF43+AH43)</f>
        <v>0</v>
      </c>
      <c r="AE43" s="157"/>
      <c r="AF43" s="157"/>
      <c r="AG43" s="157"/>
      <c r="AH43" s="157"/>
    </row>
    <row r="44" spans="1:34" s="7" customFormat="1">
      <c r="A44" s="33" t="s">
        <v>65</v>
      </c>
      <c r="B44" s="34" t="s">
        <v>66</v>
      </c>
      <c r="C44" s="35" t="s">
        <v>42</v>
      </c>
      <c r="D44" s="174"/>
      <c r="E44" s="157">
        <f t="shared" si="37"/>
        <v>0</v>
      </c>
      <c r="F44" s="157">
        <f t="shared" si="37"/>
        <v>0</v>
      </c>
      <c r="G44" s="157">
        <f t="shared" si="38"/>
        <v>0</v>
      </c>
      <c r="H44" s="157">
        <f t="shared" ref="H44:H48" si="39">SUM(J44+L44+N44+P44)</f>
        <v>0</v>
      </c>
      <c r="I44" s="175"/>
      <c r="J44" s="175"/>
      <c r="K44" s="175"/>
      <c r="L44" s="175"/>
      <c r="M44" s="175"/>
      <c r="N44" s="175"/>
      <c r="O44" s="175"/>
      <c r="P44" s="175"/>
      <c r="Q44" s="157">
        <f t="shared" ref="Q44:R48" si="40">SUM(S44+U44)</f>
        <v>0</v>
      </c>
      <c r="R44" s="157">
        <f t="shared" si="40"/>
        <v>0</v>
      </c>
      <c r="S44" s="175"/>
      <c r="T44" s="175"/>
      <c r="U44" s="175"/>
      <c r="V44" s="175"/>
      <c r="W44" s="157">
        <f t="shared" ref="W44:X48" si="41">SUM(Y44+AA44)</f>
        <v>0</v>
      </c>
      <c r="X44" s="157">
        <f t="shared" si="41"/>
        <v>0</v>
      </c>
      <c r="Y44" s="175"/>
      <c r="Z44" s="175"/>
      <c r="AA44" s="175"/>
      <c r="AB44" s="175"/>
      <c r="AC44" s="157">
        <f t="shared" ref="AC44:AD48" si="42">SUM(AE44+AG44)</f>
        <v>0</v>
      </c>
      <c r="AD44" s="157">
        <f t="shared" si="42"/>
        <v>0</v>
      </c>
      <c r="AE44" s="175"/>
      <c r="AF44" s="175"/>
      <c r="AG44" s="175"/>
      <c r="AH44" s="175"/>
    </row>
    <row r="45" spans="1:34" s="7" customFormat="1" ht="49.5" customHeight="1">
      <c r="A45" s="33" t="s">
        <v>67</v>
      </c>
      <c r="B45" s="36" t="s">
        <v>68</v>
      </c>
      <c r="C45" s="35" t="s">
        <v>50</v>
      </c>
      <c r="D45" s="174">
        <f>16000+16400</f>
        <v>32400</v>
      </c>
      <c r="E45" s="157">
        <f t="shared" si="37"/>
        <v>32400</v>
      </c>
      <c r="F45" s="157">
        <f t="shared" si="37"/>
        <v>32400</v>
      </c>
      <c r="G45" s="157">
        <f t="shared" si="38"/>
        <v>32400</v>
      </c>
      <c r="H45" s="157">
        <f t="shared" si="39"/>
        <v>32400</v>
      </c>
      <c r="I45" s="175"/>
      <c r="J45" s="175"/>
      <c r="K45" s="175">
        <f>14200+5700+8500</f>
        <v>28400</v>
      </c>
      <c r="L45" s="175">
        <f>3112+6300+88+15000+1400</f>
        <v>25900</v>
      </c>
      <c r="M45" s="175">
        <f>2000+800+1200</f>
        <v>4000</v>
      </c>
      <c r="N45" s="175">
        <f>6500</f>
        <v>6500</v>
      </c>
      <c r="O45" s="175"/>
      <c r="P45" s="175"/>
      <c r="Q45" s="157">
        <f t="shared" si="40"/>
        <v>0</v>
      </c>
      <c r="R45" s="157">
        <f t="shared" si="40"/>
        <v>0</v>
      </c>
      <c r="S45" s="175"/>
      <c r="T45" s="175"/>
      <c r="U45" s="175"/>
      <c r="V45" s="175"/>
      <c r="W45" s="157">
        <f t="shared" si="41"/>
        <v>0</v>
      </c>
      <c r="X45" s="157">
        <f t="shared" si="41"/>
        <v>0</v>
      </c>
      <c r="Y45" s="175"/>
      <c r="Z45" s="175"/>
      <c r="AA45" s="175"/>
      <c r="AB45" s="175"/>
      <c r="AC45" s="157">
        <f t="shared" si="42"/>
        <v>0</v>
      </c>
      <c r="AD45" s="157">
        <f t="shared" si="42"/>
        <v>0</v>
      </c>
      <c r="AE45" s="175"/>
      <c r="AF45" s="175"/>
      <c r="AG45" s="175"/>
      <c r="AH45" s="175"/>
    </row>
    <row r="46" spans="1:34" s="7" customFormat="1">
      <c r="A46" s="33" t="s">
        <v>69</v>
      </c>
      <c r="B46" s="34" t="s">
        <v>70</v>
      </c>
      <c r="C46" s="35" t="s">
        <v>50</v>
      </c>
      <c r="D46" s="174">
        <f>20000+94000+3500000+1314000+1314000-1000-1000</f>
        <v>6240000</v>
      </c>
      <c r="E46" s="157">
        <f t="shared" si="37"/>
        <v>6240000</v>
      </c>
      <c r="F46" s="157">
        <f t="shared" si="37"/>
        <v>6239991.3900000006</v>
      </c>
      <c r="G46" s="157">
        <f t="shared" si="38"/>
        <v>3674000</v>
      </c>
      <c r="H46" s="157">
        <f t="shared" si="39"/>
        <v>3673991.39</v>
      </c>
      <c r="I46" s="175"/>
      <c r="J46" s="175"/>
      <c r="K46" s="175">
        <f>994000+397600+596400</f>
        <v>1988000</v>
      </c>
      <c r="L46" s="175">
        <f>2000+2300+3040+8500+8500+8500+8500+8500+8500+8500+10840+8500+15000+15000+8500+12000+8500+8500+12000+15000+8500+8500+8500+8500+8500+8500+9500+10840+15000+6966.67+11200+8500+1600+1660+1900+8500+8500+9500+1320+1300+2940+1940+1400+1800+11000+15000+12000+8500+8500+8500+8500+42000+8500+8500+8500+8500+8500+8500+10840+15000+15000+8709.67+2200+2000+1800+2540+800+1960+8500+8500+15000+15000+15000+8500+8500+8500+8500+8500+8500+8500+10840+11000+12000+42000+5757.99+8500+1670+1500+2000+1180+2000+8500+8500+8500+11000+8500+8500+8500+8500+8500+8500+8500+10840+15000+15000+42000+12000+15000+6000+16000+1189.88+2040+1800+12013.79+3524.92+2340+1420+1420+3040+8500+8500+8500+8500+8500+8500+8500+8500+8500+10840+11000+15000+42000+8500+12000+15000+15000+2000+1500+900+4840+3040+42000+10840+8500+8500+8500+8500+8500+8500+8500+8500+8500+8500+12000+11000+15000+15000+15000+2000+1800+1180+4840+700+3240+40000+2500+3080+8500+8500+3683.29+8500+8500+8500+8500+8500+8500+8500+10840+11000+12000+15000+15000+15000+8500+42000+5700+5483.8+1220+10500+1900+4860+3680+4080+4840+8500+8500+10840+12000+15000+15000+8500+8500+8500+8500+8500+11000+15000+8500+8500+5383.27+42000+2549.97+3880+2000+5520+3980+4540+4500+720+720+2100+10000+1400+8500+11000+12000+15000+15000+42000+8500+15000+8500+8500+8500+8500+8500+8500+8500+8500+3838.66+2100+1900+11500+24000+14032.23+3016.09+3080+2500+2540+2000+1000+2590+1900+19720+15000+15000+15000+42000+8500+8500+8500+8500+12000+15000+8500+8500+8500+8500+11000+8500+8500+8500+4840+8500+2300+1800+21000+3880+19000+4500+11680+8200+5860+20000+13000+5500+3500+1500+9820+4080+4920+8500+8500+8500+8500+8500+11000+15000+15000+15000+15000+8500+8500+8500+8500+8500+8500+12000+42000</f>
        <v>2899790.23</v>
      </c>
      <c r="M46" s="175">
        <f>843000+337200+505800</f>
        <v>1686000</v>
      </c>
      <c r="N46" s="175">
        <f>2400+35000+7260+42740+4850+105000+41000+72050+11750+36200+4610+26390+123500+50000+4572+7120+11000+3000+14780</f>
        <v>603222</v>
      </c>
      <c r="O46" s="175"/>
      <c r="P46" s="175">
        <f>1945.48+1730.32+1653.1+1645.44+6444.14+1236.94+1799.47+1447.83+17853.63+3614.37+1802.36+1745.61+1886.26+2083.85+4042.43+17853.63+7366.31+6068.44+1801.24+1362.43+10649.97+3280.78+6683.22+1876.32+1799.47+10649.97+2835.64+2049.15+1801.97+5299.97+1799.47+1393.8+2516.05+10649.97+2133.69+1801.88+1081.11+4087.49+2555.99+10649.97</f>
        <v>170979.15999999997</v>
      </c>
      <c r="Q46" s="157">
        <f t="shared" si="40"/>
        <v>2566000</v>
      </c>
      <c r="R46" s="157">
        <f t="shared" si="40"/>
        <v>2566000</v>
      </c>
      <c r="S46" s="175"/>
      <c r="T46" s="175"/>
      <c r="U46" s="175">
        <f>2568000-1000-1000</f>
        <v>2566000</v>
      </c>
      <c r="V46" s="175">
        <f>384900+256600+384900+256600+641500+641500</f>
        <v>2566000</v>
      </c>
      <c r="W46" s="157">
        <f t="shared" si="41"/>
        <v>0</v>
      </c>
      <c r="X46" s="157">
        <f t="shared" si="41"/>
        <v>0</v>
      </c>
      <c r="Y46" s="175"/>
      <c r="Z46" s="175"/>
      <c r="AA46" s="175"/>
      <c r="AB46" s="175"/>
      <c r="AC46" s="157">
        <f t="shared" si="42"/>
        <v>0</v>
      </c>
      <c r="AD46" s="157">
        <f t="shared" si="42"/>
        <v>0</v>
      </c>
      <c r="AE46" s="175"/>
      <c r="AF46" s="175"/>
      <c r="AG46" s="175"/>
      <c r="AH46" s="175"/>
    </row>
    <row r="47" spans="1:34" s="7" customFormat="1">
      <c r="A47" s="33" t="s">
        <v>71</v>
      </c>
      <c r="B47" s="34" t="s">
        <v>72</v>
      </c>
      <c r="C47" s="35" t="s">
        <v>50</v>
      </c>
      <c r="D47" s="174"/>
      <c r="E47" s="157">
        <f t="shared" si="37"/>
        <v>0</v>
      </c>
      <c r="F47" s="157">
        <f t="shared" si="37"/>
        <v>0</v>
      </c>
      <c r="G47" s="157">
        <f t="shared" si="38"/>
        <v>0</v>
      </c>
      <c r="H47" s="157">
        <f t="shared" si="39"/>
        <v>0</v>
      </c>
      <c r="I47" s="175"/>
      <c r="J47" s="175"/>
      <c r="K47" s="175"/>
      <c r="L47" s="175"/>
      <c r="M47" s="175"/>
      <c r="N47" s="175"/>
      <c r="O47" s="175"/>
      <c r="P47" s="175"/>
      <c r="Q47" s="157">
        <f t="shared" si="40"/>
        <v>0</v>
      </c>
      <c r="R47" s="157">
        <f t="shared" si="40"/>
        <v>0</v>
      </c>
      <c r="S47" s="175"/>
      <c r="T47" s="175"/>
      <c r="U47" s="175"/>
      <c r="V47" s="175"/>
      <c r="W47" s="157">
        <f t="shared" si="41"/>
        <v>0</v>
      </c>
      <c r="X47" s="157">
        <f t="shared" si="41"/>
        <v>0</v>
      </c>
      <c r="Y47" s="175"/>
      <c r="Z47" s="175"/>
      <c r="AA47" s="175"/>
      <c r="AB47" s="175"/>
      <c r="AC47" s="157">
        <f t="shared" si="42"/>
        <v>0</v>
      </c>
      <c r="AD47" s="157">
        <f t="shared" si="42"/>
        <v>0</v>
      </c>
      <c r="AE47" s="175"/>
      <c r="AF47" s="175"/>
      <c r="AG47" s="175"/>
      <c r="AH47" s="175"/>
    </row>
    <row r="48" spans="1:34" s="7" customFormat="1">
      <c r="A48" s="33" t="s">
        <v>73</v>
      </c>
      <c r="B48" s="34" t="s">
        <v>74</v>
      </c>
      <c r="C48" s="35" t="s">
        <v>50</v>
      </c>
      <c r="D48" s="174"/>
      <c r="E48" s="157">
        <f t="shared" si="37"/>
        <v>0</v>
      </c>
      <c r="F48" s="157">
        <f t="shared" si="37"/>
        <v>0</v>
      </c>
      <c r="G48" s="157">
        <f t="shared" si="38"/>
        <v>0</v>
      </c>
      <c r="H48" s="157">
        <f t="shared" si="39"/>
        <v>0</v>
      </c>
      <c r="I48" s="175"/>
      <c r="J48" s="175"/>
      <c r="K48" s="175"/>
      <c r="L48" s="175"/>
      <c r="M48" s="175"/>
      <c r="N48" s="175"/>
      <c r="O48" s="175"/>
      <c r="P48" s="175"/>
      <c r="Q48" s="157">
        <f t="shared" si="40"/>
        <v>0</v>
      </c>
      <c r="R48" s="157">
        <f t="shared" si="40"/>
        <v>0</v>
      </c>
      <c r="S48" s="175"/>
      <c r="T48" s="175"/>
      <c r="U48" s="175"/>
      <c r="V48" s="175"/>
      <c r="W48" s="157">
        <f t="shared" si="41"/>
        <v>0</v>
      </c>
      <c r="X48" s="157">
        <f t="shared" si="41"/>
        <v>0</v>
      </c>
      <c r="Y48" s="175"/>
      <c r="Z48" s="175"/>
      <c r="AA48" s="175"/>
      <c r="AB48" s="175"/>
      <c r="AC48" s="157">
        <f t="shared" si="42"/>
        <v>0</v>
      </c>
      <c r="AD48" s="157">
        <f t="shared" si="42"/>
        <v>0</v>
      </c>
      <c r="AE48" s="175"/>
      <c r="AF48" s="175"/>
      <c r="AG48" s="175"/>
      <c r="AH48" s="175"/>
    </row>
    <row r="49" spans="1:172" s="7" customFormat="1" ht="24" customHeight="1">
      <c r="A49" s="341" t="s">
        <v>75</v>
      </c>
      <c r="B49" s="342"/>
      <c r="C49" s="16"/>
      <c r="D49" s="162">
        <f>SUM(D50:D62)</f>
        <v>19408570.739999998</v>
      </c>
      <c r="E49" s="162">
        <f t="shared" ref="E49:AH49" si="43">SUM(E50:E62)</f>
        <v>19408570.739999998</v>
      </c>
      <c r="F49" s="162">
        <f t="shared" si="43"/>
        <v>19408119.199999999</v>
      </c>
      <c r="G49" s="162">
        <f t="shared" si="43"/>
        <v>1950420</v>
      </c>
      <c r="H49" s="162">
        <f t="shared" si="43"/>
        <v>1949968.4599999995</v>
      </c>
      <c r="I49" s="162">
        <f t="shared" si="43"/>
        <v>42000</v>
      </c>
      <c r="J49" s="162">
        <f t="shared" si="43"/>
        <v>0</v>
      </c>
      <c r="K49" s="162">
        <f t="shared" si="43"/>
        <v>832520</v>
      </c>
      <c r="L49" s="162">
        <f t="shared" si="43"/>
        <v>720745.28</v>
      </c>
      <c r="M49" s="162">
        <f t="shared" si="43"/>
        <v>718600</v>
      </c>
      <c r="N49" s="162">
        <f t="shared" si="43"/>
        <v>783029.48</v>
      </c>
      <c r="O49" s="162">
        <f t="shared" si="43"/>
        <v>357300</v>
      </c>
      <c r="P49" s="162">
        <f t="shared" si="43"/>
        <v>446193.6999999996</v>
      </c>
      <c r="Q49" s="162">
        <f t="shared" si="43"/>
        <v>17458150.739999998</v>
      </c>
      <c r="R49" s="162">
        <f t="shared" si="43"/>
        <v>17458150.739999998</v>
      </c>
      <c r="S49" s="162">
        <f t="shared" si="43"/>
        <v>6581000</v>
      </c>
      <c r="T49" s="162">
        <f t="shared" si="43"/>
        <v>6581000</v>
      </c>
      <c r="U49" s="162">
        <f t="shared" si="43"/>
        <v>10877150.74</v>
      </c>
      <c r="V49" s="162">
        <f t="shared" si="43"/>
        <v>10877150.74</v>
      </c>
      <c r="W49" s="162">
        <f t="shared" si="43"/>
        <v>0</v>
      </c>
      <c r="X49" s="162">
        <f t="shared" si="43"/>
        <v>0</v>
      </c>
      <c r="Y49" s="162">
        <f t="shared" si="43"/>
        <v>0</v>
      </c>
      <c r="Z49" s="162">
        <f t="shared" si="43"/>
        <v>0</v>
      </c>
      <c r="AA49" s="162">
        <f t="shared" si="43"/>
        <v>0</v>
      </c>
      <c r="AB49" s="162">
        <f t="shared" si="43"/>
        <v>0</v>
      </c>
      <c r="AC49" s="162">
        <f t="shared" si="43"/>
        <v>0</v>
      </c>
      <c r="AD49" s="162">
        <f t="shared" si="43"/>
        <v>0</v>
      </c>
      <c r="AE49" s="162">
        <f t="shared" si="43"/>
        <v>0</v>
      </c>
      <c r="AF49" s="162">
        <f t="shared" si="43"/>
        <v>0</v>
      </c>
      <c r="AG49" s="162">
        <f t="shared" si="43"/>
        <v>0</v>
      </c>
      <c r="AH49" s="162">
        <f t="shared" si="43"/>
        <v>0</v>
      </c>
    </row>
    <row r="50" spans="1:172" s="7" customFormat="1">
      <c r="A50" s="27" t="s">
        <v>76</v>
      </c>
      <c r="B50" s="28" t="s">
        <v>77</v>
      </c>
      <c r="C50" s="29" t="s">
        <v>16</v>
      </c>
      <c r="D50" s="169"/>
      <c r="E50" s="157">
        <f t="shared" ref="E50:F62" si="44">G50+Q50+W50+AC50</f>
        <v>0</v>
      </c>
      <c r="F50" s="157">
        <f t="shared" si="44"/>
        <v>0</v>
      </c>
      <c r="G50" s="157">
        <f t="shared" ref="G50:G62" si="45">I50+K50+M50+O50</f>
        <v>0</v>
      </c>
      <c r="H50" s="157">
        <f>SUM(J50+L50+N50+P50)</f>
        <v>0</v>
      </c>
      <c r="I50" s="157"/>
      <c r="J50" s="157"/>
      <c r="K50" s="157"/>
      <c r="L50" s="157"/>
      <c r="M50" s="157"/>
      <c r="N50" s="157"/>
      <c r="O50" s="157"/>
      <c r="P50" s="157"/>
      <c r="Q50" s="179">
        <f t="shared" ref="Q50:R52" si="46">SUM(S50+U50)</f>
        <v>0</v>
      </c>
      <c r="R50" s="179">
        <f t="shared" si="46"/>
        <v>0</v>
      </c>
      <c r="S50" s="157"/>
      <c r="T50" s="157"/>
      <c r="U50" s="157"/>
      <c r="V50" s="157"/>
      <c r="W50" s="175">
        <f t="shared" ref="W50:X52" si="47">SUM(Y50+AA50)</f>
        <v>0</v>
      </c>
      <c r="X50" s="175">
        <f t="shared" si="47"/>
        <v>0</v>
      </c>
      <c r="Y50" s="157"/>
      <c r="Z50" s="157"/>
      <c r="AA50" s="157"/>
      <c r="AB50" s="157"/>
      <c r="AC50" s="175">
        <f t="shared" ref="AC50:AD52" si="48">SUM(AE50+AG50)</f>
        <v>0</v>
      </c>
      <c r="AD50" s="175">
        <f t="shared" si="48"/>
        <v>0</v>
      </c>
      <c r="AE50" s="157"/>
      <c r="AF50" s="157"/>
      <c r="AG50" s="157"/>
      <c r="AH50" s="157"/>
    </row>
    <row r="51" spans="1:172" s="7" customFormat="1">
      <c r="A51" s="33" t="s">
        <v>78</v>
      </c>
      <c r="B51" s="34" t="s">
        <v>79</v>
      </c>
      <c r="C51" s="35" t="s">
        <v>16</v>
      </c>
      <c r="D51" s="174"/>
      <c r="E51" s="157">
        <f t="shared" si="44"/>
        <v>0</v>
      </c>
      <c r="F51" s="157">
        <f t="shared" si="44"/>
        <v>0</v>
      </c>
      <c r="G51" s="157">
        <f t="shared" si="45"/>
        <v>0</v>
      </c>
      <c r="H51" s="157">
        <f t="shared" ref="H51:H62" si="49">SUM(J51+L51+N51+P51)</f>
        <v>0</v>
      </c>
      <c r="I51" s="175"/>
      <c r="J51" s="175"/>
      <c r="K51" s="175"/>
      <c r="L51" s="175"/>
      <c r="M51" s="175"/>
      <c r="N51" s="175"/>
      <c r="O51" s="175"/>
      <c r="P51" s="175"/>
      <c r="Q51" s="179">
        <f t="shared" si="46"/>
        <v>0</v>
      </c>
      <c r="R51" s="179">
        <f t="shared" si="46"/>
        <v>0</v>
      </c>
      <c r="S51" s="175"/>
      <c r="T51" s="175"/>
      <c r="U51" s="175"/>
      <c r="V51" s="175"/>
      <c r="W51" s="175">
        <f t="shared" si="47"/>
        <v>0</v>
      </c>
      <c r="X51" s="175">
        <f t="shared" si="47"/>
        <v>0</v>
      </c>
      <c r="Y51" s="175"/>
      <c r="Z51" s="175"/>
      <c r="AA51" s="175"/>
      <c r="AB51" s="175"/>
      <c r="AC51" s="175">
        <f t="shared" si="48"/>
        <v>0</v>
      </c>
      <c r="AD51" s="175">
        <f t="shared" si="48"/>
        <v>0</v>
      </c>
      <c r="AE51" s="175"/>
      <c r="AF51" s="175"/>
      <c r="AG51" s="175"/>
      <c r="AH51" s="175"/>
    </row>
    <row r="52" spans="1:172" s="7" customFormat="1">
      <c r="A52" s="33" t="s">
        <v>80</v>
      </c>
      <c r="B52" s="34" t="s">
        <v>81</v>
      </c>
      <c r="C52" s="35" t="s">
        <v>82</v>
      </c>
      <c r="D52" s="174">
        <f>509800+30600+51500+34000+34000+34000+56620+137500</f>
        <v>888020</v>
      </c>
      <c r="E52" s="157">
        <f t="shared" si="44"/>
        <v>888020</v>
      </c>
      <c r="F52" s="157">
        <f t="shared" si="44"/>
        <v>887735.08999999962</v>
      </c>
      <c r="G52" s="157">
        <f t="shared" si="45"/>
        <v>888020</v>
      </c>
      <c r="H52" s="157">
        <f t="shared" si="49"/>
        <v>887735.08999999962</v>
      </c>
      <c r="I52" s="175">
        <f>28210+6430+7360</f>
        <v>42000</v>
      </c>
      <c r="J52" s="175"/>
      <c r="K52" s="175">
        <f>264580+56620+60315+68805</f>
        <v>450320</v>
      </c>
      <c r="L52" s="175">
        <f>9000+7000+500+472+392+2600+1240+9000+7000+1240+6000+967+500+56620+416+720+480+1120+9000+1320+4500+7000+4300+1000+944+9000+7000+4500+9000+7000+500+1000+1000+864+768+880+1000+2680+120+4500+6600+472+9000+7000+4500+2200+9000+7000+4500+328+7000+6000+3000+740+1200+7000+9000+9750+500+944+1572+7000+9000+3640+1000+9000+7000+9000+7000+2200+469.68+2200+0.1+17.46+424.44+162.71+30.32+11.23+315.47+2100+1800+500+1480+32+234.05+2.64</f>
        <v>345069.1</v>
      </c>
      <c r="M52" s="175">
        <f>25785+5880+6735</f>
        <v>38400</v>
      </c>
      <c r="N52" s="175">
        <f>7882+17400+9450+4750+13200+4376+3434+10000+14636+2215+1090+8516.34+5959</f>
        <v>102908.34</v>
      </c>
      <c r="O52" s="175">
        <f>147725+69100+33675+34500+38430+33870</f>
        <v>357300</v>
      </c>
      <c r="P52" s="175">
        <f>19129.51+13862.8+10645.57+7853.55+7815+8485+14178.36+7577.32+1381.16+1265.6+223.63+243.96+2816.36+2547.01+2982.54+537.23+568.56+625.95+427.22+625.95+684.8+684.8+1337.43+631.3+738.3+1360.69+581.98+663.4+663.4+386.27+952.3+952.3+2684.53+749+749+107+107+6678.99+631.3+513.6+387.34+7881.57+9670.53+631.3+132.47+149.8+4380.89+732.95+732.95+2780.37+3200.32+119.95+631.3+2518.32+116.9+631.3+357.38+216.14+2822.07+5991.27+631.3+663.4+749+107+738.3+631.3+2879.37+631.3+5972.01+5376.09+2392.25+684.8+684.8+952.3+749+107+492.2+4759.12+122.19+732.95+160.5+171.2+122.03+732.95+135.19+1835.15+5996.87+5292.15+5317.01+588.5+588.5+588.5+588.5+645.01+645.01+955.93+1386.02+1406.75+1386.02+107+107+107+107+2943.56+528.27+631.3+631.3+631.3+631.3+749+107+631.3+132.15+4516.94+2616.29+716.73+732.95+1759.12+1562.21+1733.2+1847.22+331.35+394+465.61+241.83+446.3+1564.34+1448.78+1402.56+1980.78+3595.23+955.93+1034.87+1272.02+15943.12+9476.53+2664.3+2664.3+196.88+180.83+8447+1730.32+770.26+4543.76+749+107+6466.95+849.05+2170.3+631.3+123+631.3+2256.75+588.5+5589.96+6173.94+588.5+643.62+297.42+666.96+292.29+859.68+859.68+1128.32+749+107+116.9+1431.99+859.68+107+749+3984.94+777.93+748.71+328.22+487.36+1461.19+4804.56+588.5+588.5+1544.18+859.68+35.62+1846.61+2074.38+2421.3+1772.35+829.26+35.62+3307.72+5422.43+1079.1+631.3+3141.59+8145.47+731.27+182.52+517.74+953.05+1391.11+1608.1+1028.48+669.35+700.29+178.08+80.13+953.05+798.31+643.56+451.9+478.75+543.1+142.78+215.09+260.8+7.32+474.8+143.1+2.8+104.86+3851.5+588.5+4571.16+1757.69+731.27+120.21+1582.33+513.6+484.85+2664.3+410.84+1888.12+2281.99+2003.95+1888.12+310.54+1169.69+922.1+1155.41+0.17+7.08+281.69+488.85+0.27+0.27+499.9</f>
        <v>439757.64999999962</v>
      </c>
      <c r="Q52" s="179">
        <f t="shared" si="46"/>
        <v>0</v>
      </c>
      <c r="R52" s="179">
        <f t="shared" si="46"/>
        <v>0</v>
      </c>
      <c r="S52" s="175"/>
      <c r="T52" s="175"/>
      <c r="U52" s="175"/>
      <c r="V52" s="175"/>
      <c r="W52" s="175">
        <f t="shared" si="47"/>
        <v>0</v>
      </c>
      <c r="X52" s="175">
        <f t="shared" si="47"/>
        <v>0</v>
      </c>
      <c r="Y52" s="175"/>
      <c r="Z52" s="175"/>
      <c r="AA52" s="175"/>
      <c r="AB52" s="175"/>
      <c r="AC52" s="175">
        <f t="shared" si="48"/>
        <v>0</v>
      </c>
      <c r="AD52" s="175">
        <f t="shared" si="48"/>
        <v>0</v>
      </c>
      <c r="AE52" s="175"/>
      <c r="AF52" s="175"/>
      <c r="AG52" s="175"/>
      <c r="AH52" s="175"/>
    </row>
    <row r="53" spans="1:172" s="7" customFormat="1">
      <c r="A53" s="33" t="s">
        <v>83</v>
      </c>
      <c r="B53" s="34" t="s">
        <v>84</v>
      </c>
      <c r="C53" s="35" t="s">
        <v>85</v>
      </c>
      <c r="D53" s="174"/>
      <c r="E53" s="157">
        <f t="shared" si="44"/>
        <v>0</v>
      </c>
      <c r="F53" s="157">
        <f t="shared" si="44"/>
        <v>0</v>
      </c>
      <c r="G53" s="157">
        <f t="shared" si="45"/>
        <v>0</v>
      </c>
      <c r="H53" s="157">
        <f t="shared" si="49"/>
        <v>0</v>
      </c>
      <c r="I53" s="175"/>
      <c r="J53" s="175"/>
      <c r="K53" s="175"/>
      <c r="L53" s="175"/>
      <c r="M53" s="175"/>
      <c r="N53" s="175"/>
      <c r="O53" s="175"/>
      <c r="P53" s="175"/>
      <c r="Q53" s="179">
        <f t="shared" ref="Q53:Q57" si="50">SUM(S53+U53)</f>
        <v>0</v>
      </c>
      <c r="R53" s="179">
        <f t="shared" ref="R53:R57" si="51">SUM(T53+V53)</f>
        <v>0</v>
      </c>
      <c r="S53" s="175"/>
      <c r="T53" s="175"/>
      <c r="U53" s="175"/>
      <c r="V53" s="175"/>
      <c r="W53" s="175">
        <f>SUM(Y53+AA53)</f>
        <v>0</v>
      </c>
      <c r="X53" s="175">
        <f>SUM(Z53+AB53)</f>
        <v>0</v>
      </c>
      <c r="Y53" s="175"/>
      <c r="Z53" s="175"/>
      <c r="AA53" s="175"/>
      <c r="AB53" s="175"/>
      <c r="AC53" s="175">
        <f>SUM(AE53+AG53)</f>
        <v>0</v>
      </c>
      <c r="AD53" s="175">
        <f>SUM(AF53+AH53)</f>
        <v>0</v>
      </c>
      <c r="AE53" s="175"/>
      <c r="AF53" s="175"/>
      <c r="AG53" s="175"/>
      <c r="AH53" s="175"/>
    </row>
    <row r="54" spans="1:172" s="47" customFormat="1">
      <c r="A54" s="44" t="s">
        <v>86</v>
      </c>
      <c r="B54" s="48" t="s">
        <v>87</v>
      </c>
      <c r="C54" s="46" t="s">
        <v>88</v>
      </c>
      <c r="D54" s="158"/>
      <c r="E54" s="157">
        <f t="shared" si="44"/>
        <v>0</v>
      </c>
      <c r="F54" s="157">
        <f t="shared" si="44"/>
        <v>0</v>
      </c>
      <c r="G54" s="157">
        <f t="shared" si="45"/>
        <v>0</v>
      </c>
      <c r="H54" s="157">
        <f t="shared" si="49"/>
        <v>0</v>
      </c>
      <c r="I54" s="156"/>
      <c r="J54" s="156"/>
      <c r="K54" s="156"/>
      <c r="L54" s="156"/>
      <c r="M54" s="156"/>
      <c r="N54" s="156"/>
      <c r="O54" s="156"/>
      <c r="P54" s="156"/>
      <c r="Q54" s="179">
        <f t="shared" si="50"/>
        <v>0</v>
      </c>
      <c r="R54" s="179">
        <f t="shared" si="51"/>
        <v>0</v>
      </c>
      <c r="S54" s="156"/>
      <c r="T54" s="156"/>
      <c r="U54" s="156"/>
      <c r="V54" s="156"/>
      <c r="W54" s="175">
        <f t="shared" ref="W54:X62" si="52">SUM(Y54+AA54)</f>
        <v>0</v>
      </c>
      <c r="X54" s="175">
        <f t="shared" si="52"/>
        <v>0</v>
      </c>
      <c r="Y54" s="156"/>
      <c r="Z54" s="156"/>
      <c r="AA54" s="156"/>
      <c r="AB54" s="156"/>
      <c r="AC54" s="175">
        <f t="shared" ref="AC54:AD62" si="53">SUM(AE54+AG54)</f>
        <v>0</v>
      </c>
      <c r="AD54" s="175">
        <f t="shared" si="53"/>
        <v>0</v>
      </c>
      <c r="AE54" s="156"/>
      <c r="AF54" s="156"/>
      <c r="AG54" s="156"/>
      <c r="AH54" s="156"/>
    </row>
    <row r="55" spans="1:172" s="7" customFormat="1">
      <c r="A55" s="33" t="s">
        <v>89</v>
      </c>
      <c r="B55" s="34" t="s">
        <v>90</v>
      </c>
      <c r="C55" s="35" t="s">
        <v>16</v>
      </c>
      <c r="D55" s="174"/>
      <c r="E55" s="157">
        <f t="shared" si="44"/>
        <v>0</v>
      </c>
      <c r="F55" s="157">
        <f t="shared" si="44"/>
        <v>0</v>
      </c>
      <c r="G55" s="157">
        <f t="shared" si="45"/>
        <v>0</v>
      </c>
      <c r="H55" s="157">
        <f t="shared" si="49"/>
        <v>0</v>
      </c>
      <c r="I55" s="175"/>
      <c r="J55" s="175"/>
      <c r="K55" s="175"/>
      <c r="L55" s="175"/>
      <c r="M55" s="175"/>
      <c r="N55" s="175"/>
      <c r="O55" s="175"/>
      <c r="P55" s="175"/>
      <c r="Q55" s="179">
        <f t="shared" si="50"/>
        <v>0</v>
      </c>
      <c r="R55" s="179">
        <f t="shared" si="51"/>
        <v>0</v>
      </c>
      <c r="S55" s="175"/>
      <c r="T55" s="175"/>
      <c r="U55" s="175"/>
      <c r="V55" s="175"/>
      <c r="W55" s="175">
        <f t="shared" si="52"/>
        <v>0</v>
      </c>
      <c r="X55" s="175">
        <f t="shared" si="52"/>
        <v>0</v>
      </c>
      <c r="Y55" s="175"/>
      <c r="Z55" s="175"/>
      <c r="AA55" s="175"/>
      <c r="AB55" s="175"/>
      <c r="AC55" s="175">
        <f t="shared" si="53"/>
        <v>0</v>
      </c>
      <c r="AD55" s="175">
        <f t="shared" si="53"/>
        <v>0</v>
      </c>
      <c r="AE55" s="175"/>
      <c r="AF55" s="175"/>
      <c r="AG55" s="175"/>
      <c r="AH55" s="175"/>
    </row>
    <row r="56" spans="1:172" s="7" customFormat="1">
      <c r="A56" s="33" t="s">
        <v>91</v>
      </c>
      <c r="B56" s="34" t="s">
        <v>92</v>
      </c>
      <c r="C56" s="35" t="s">
        <v>93</v>
      </c>
      <c r="D56" s="174"/>
      <c r="E56" s="157">
        <f t="shared" si="44"/>
        <v>0</v>
      </c>
      <c r="F56" s="157">
        <f t="shared" si="44"/>
        <v>0</v>
      </c>
      <c r="G56" s="157">
        <f t="shared" si="45"/>
        <v>0</v>
      </c>
      <c r="H56" s="157">
        <f t="shared" si="49"/>
        <v>0</v>
      </c>
      <c r="I56" s="175"/>
      <c r="J56" s="175"/>
      <c r="K56" s="175"/>
      <c r="L56" s="175"/>
      <c r="M56" s="175"/>
      <c r="N56" s="175"/>
      <c r="O56" s="175"/>
      <c r="P56" s="175"/>
      <c r="Q56" s="179">
        <f t="shared" si="50"/>
        <v>0</v>
      </c>
      <c r="R56" s="179">
        <f t="shared" si="51"/>
        <v>0</v>
      </c>
      <c r="S56" s="175"/>
      <c r="T56" s="175"/>
      <c r="U56" s="175"/>
      <c r="V56" s="175"/>
      <c r="W56" s="175">
        <f t="shared" si="52"/>
        <v>0</v>
      </c>
      <c r="X56" s="175">
        <f t="shared" si="52"/>
        <v>0</v>
      </c>
      <c r="Y56" s="175"/>
      <c r="Z56" s="175"/>
      <c r="AA56" s="175"/>
      <c r="AB56" s="175"/>
      <c r="AC56" s="175">
        <f t="shared" si="53"/>
        <v>0</v>
      </c>
      <c r="AD56" s="175">
        <f t="shared" si="53"/>
        <v>0</v>
      </c>
      <c r="AE56" s="175"/>
      <c r="AF56" s="175"/>
      <c r="AG56" s="175"/>
      <c r="AH56" s="175"/>
    </row>
    <row r="57" spans="1:172" s="7" customFormat="1">
      <c r="A57" s="33" t="s">
        <v>94</v>
      </c>
      <c r="B57" s="34" t="s">
        <v>95</v>
      </c>
      <c r="C57" s="35" t="s">
        <v>96</v>
      </c>
      <c r="D57" s="174"/>
      <c r="E57" s="157">
        <f t="shared" si="44"/>
        <v>0</v>
      </c>
      <c r="F57" s="157">
        <f t="shared" si="44"/>
        <v>0</v>
      </c>
      <c r="G57" s="157">
        <f t="shared" si="45"/>
        <v>0</v>
      </c>
      <c r="H57" s="157">
        <f t="shared" si="49"/>
        <v>0</v>
      </c>
      <c r="I57" s="175"/>
      <c r="J57" s="175"/>
      <c r="K57" s="175"/>
      <c r="L57" s="175"/>
      <c r="M57" s="175"/>
      <c r="N57" s="175"/>
      <c r="O57" s="175"/>
      <c r="P57" s="175"/>
      <c r="Q57" s="179">
        <f t="shared" si="50"/>
        <v>0</v>
      </c>
      <c r="R57" s="179">
        <f t="shared" si="51"/>
        <v>0</v>
      </c>
      <c r="S57" s="175"/>
      <c r="T57" s="175"/>
      <c r="U57" s="175"/>
      <c r="V57" s="175"/>
      <c r="W57" s="175">
        <f t="shared" si="52"/>
        <v>0</v>
      </c>
      <c r="X57" s="175">
        <f t="shared" si="52"/>
        <v>0</v>
      </c>
      <c r="Y57" s="175"/>
      <c r="Z57" s="175"/>
      <c r="AA57" s="175"/>
      <c r="AB57" s="175"/>
      <c r="AC57" s="175">
        <f t="shared" si="53"/>
        <v>0</v>
      </c>
      <c r="AD57" s="175">
        <f t="shared" si="53"/>
        <v>0</v>
      </c>
      <c r="AE57" s="175"/>
      <c r="AF57" s="175"/>
      <c r="AG57" s="175"/>
      <c r="AH57" s="175"/>
    </row>
    <row r="58" spans="1:172" s="22" customFormat="1" ht="25.15" customHeight="1">
      <c r="A58" s="33" t="s">
        <v>97</v>
      </c>
      <c r="B58" s="34" t="s">
        <v>98</v>
      </c>
      <c r="C58" s="49" t="s">
        <v>82</v>
      </c>
      <c r="D58" s="270">
        <f>879000+879000+879000+879000+1000000+1000000+1358000+11809000-11809000+11809000-1059000-3000-35000-35000-55000-55000-55000-55000</f>
        <v>17331000</v>
      </c>
      <c r="E58" s="157">
        <f t="shared" si="44"/>
        <v>17331000</v>
      </c>
      <c r="F58" s="157">
        <f t="shared" si="44"/>
        <v>17331000</v>
      </c>
      <c r="G58" s="157">
        <f t="shared" si="45"/>
        <v>0</v>
      </c>
      <c r="H58" s="157">
        <f t="shared" si="49"/>
        <v>0</v>
      </c>
      <c r="I58" s="180"/>
      <c r="J58" s="180"/>
      <c r="K58" s="179"/>
      <c r="L58" s="179"/>
      <c r="M58" s="179"/>
      <c r="N58" s="179"/>
      <c r="O58" s="179"/>
      <c r="P58" s="179"/>
      <c r="Q58" s="179">
        <f>SUM(S58+U58)</f>
        <v>17331000</v>
      </c>
      <c r="R58" s="179">
        <f>SUM(T58+V58)</f>
        <v>17331000</v>
      </c>
      <c r="S58" s="179">
        <f>879000+879000+879000+879000+1000000+1000000+1358000-3000-35000-35000-55000-55000-55000-55000</f>
        <v>6581000</v>
      </c>
      <c r="T58" s="175">
        <f>824000+824000+824000+824000+965000+965000+1355000</f>
        <v>6581000</v>
      </c>
      <c r="U58" s="179">
        <f>11809000-11809000+11809000-1059000</f>
        <v>10750000</v>
      </c>
      <c r="V58" s="175">
        <f>1612500+9137500</f>
        <v>10750000</v>
      </c>
      <c r="W58" s="175">
        <f t="shared" si="52"/>
        <v>0</v>
      </c>
      <c r="X58" s="175">
        <f t="shared" si="52"/>
        <v>0</v>
      </c>
      <c r="Y58" s="179"/>
      <c r="Z58" s="179"/>
      <c r="AA58" s="179"/>
      <c r="AB58" s="179"/>
      <c r="AC58" s="175">
        <f t="shared" si="53"/>
        <v>0</v>
      </c>
      <c r="AD58" s="175">
        <f t="shared" si="53"/>
        <v>0</v>
      </c>
      <c r="AE58" s="179"/>
      <c r="AF58" s="179"/>
      <c r="AG58" s="179"/>
      <c r="AH58" s="179"/>
    </row>
    <row r="59" spans="1:172" s="47" customFormat="1">
      <c r="A59" s="44" t="s">
        <v>99</v>
      </c>
      <c r="B59" s="48" t="s">
        <v>100</v>
      </c>
      <c r="C59" s="46" t="s">
        <v>101</v>
      </c>
      <c r="D59" s="174">
        <f>140000</f>
        <v>140000</v>
      </c>
      <c r="E59" s="157">
        <f t="shared" si="44"/>
        <v>140000</v>
      </c>
      <c r="F59" s="157">
        <f t="shared" si="44"/>
        <v>139999.83000000002</v>
      </c>
      <c r="G59" s="157">
        <f t="shared" si="45"/>
        <v>140000</v>
      </c>
      <c r="H59" s="157">
        <f t="shared" si="49"/>
        <v>139999.83000000002</v>
      </c>
      <c r="I59" s="156"/>
      <c r="J59" s="156"/>
      <c r="K59" s="175">
        <f>59500+29750+29750</f>
        <v>119000</v>
      </c>
      <c r="L59" s="156">
        <f>2600+1600+1360+2600+2500+5363.38+3350+2500+1480+2200+1000+1480+1240+3000+2290+500+500+2000+1000+9400+3000+1760+3000+2000</f>
        <v>57723.380000000005</v>
      </c>
      <c r="M59" s="175">
        <f>10500+5250+5250</f>
        <v>21000</v>
      </c>
      <c r="N59" s="156">
        <f>26700+4970+14700+4780+1000+24800+4754</f>
        <v>81704</v>
      </c>
      <c r="O59" s="156"/>
      <c r="P59" s="156">
        <f>107+107+200.09+158.36</f>
        <v>572.45000000000005</v>
      </c>
      <c r="Q59" s="179">
        <f t="shared" ref="Q59:Q62" si="54">SUM(S59+U59)</f>
        <v>0</v>
      </c>
      <c r="R59" s="179">
        <f t="shared" ref="R59:R62" si="55">SUM(T59+V59)</f>
        <v>0</v>
      </c>
      <c r="S59" s="156"/>
      <c r="T59" s="156"/>
      <c r="U59" s="156"/>
      <c r="V59" s="156"/>
      <c r="W59" s="175">
        <f t="shared" si="52"/>
        <v>0</v>
      </c>
      <c r="X59" s="175">
        <f t="shared" si="52"/>
        <v>0</v>
      </c>
      <c r="Y59" s="156"/>
      <c r="Z59" s="156"/>
      <c r="AA59" s="156"/>
      <c r="AB59" s="156"/>
      <c r="AC59" s="175">
        <f t="shared" si="53"/>
        <v>0</v>
      </c>
      <c r="AD59" s="175">
        <f t="shared" si="53"/>
        <v>0</v>
      </c>
      <c r="AE59" s="156"/>
      <c r="AF59" s="156"/>
      <c r="AG59" s="156"/>
      <c r="AH59" s="156"/>
    </row>
    <row r="60" spans="1:172" s="47" customFormat="1">
      <c r="A60" s="44" t="s">
        <v>102</v>
      </c>
      <c r="B60" s="45" t="s">
        <v>103</v>
      </c>
      <c r="C60" s="46" t="s">
        <v>52</v>
      </c>
      <c r="D60" s="158"/>
      <c r="E60" s="157">
        <f t="shared" si="44"/>
        <v>0</v>
      </c>
      <c r="F60" s="157">
        <f t="shared" si="44"/>
        <v>0</v>
      </c>
      <c r="G60" s="157">
        <f t="shared" si="45"/>
        <v>0</v>
      </c>
      <c r="H60" s="157">
        <f t="shared" si="49"/>
        <v>0</v>
      </c>
      <c r="I60" s="156"/>
      <c r="J60" s="156"/>
      <c r="K60" s="156"/>
      <c r="L60" s="156"/>
      <c r="M60" s="156"/>
      <c r="N60" s="156"/>
      <c r="O60" s="156"/>
      <c r="P60" s="156"/>
      <c r="Q60" s="179">
        <f t="shared" si="54"/>
        <v>0</v>
      </c>
      <c r="R60" s="179">
        <f t="shared" si="55"/>
        <v>0</v>
      </c>
      <c r="S60" s="156"/>
      <c r="T60" s="156"/>
      <c r="U60" s="156"/>
      <c r="V60" s="156"/>
      <c r="W60" s="175">
        <f t="shared" si="52"/>
        <v>0</v>
      </c>
      <c r="X60" s="175">
        <f t="shared" si="52"/>
        <v>0</v>
      </c>
      <c r="Y60" s="156"/>
      <c r="Z60" s="156"/>
      <c r="AA60" s="156"/>
      <c r="AB60" s="156"/>
      <c r="AC60" s="175">
        <f t="shared" si="53"/>
        <v>0</v>
      </c>
      <c r="AD60" s="175">
        <f t="shared" si="53"/>
        <v>0</v>
      </c>
      <c r="AE60" s="156"/>
      <c r="AF60" s="156"/>
      <c r="AG60" s="156"/>
      <c r="AH60" s="156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</row>
    <row r="61" spans="1:172" s="47" customFormat="1">
      <c r="A61" s="44" t="s">
        <v>104</v>
      </c>
      <c r="B61" s="48" t="s">
        <v>105</v>
      </c>
      <c r="C61" s="46" t="s">
        <v>52</v>
      </c>
      <c r="D61" s="174">
        <f>668100+127300-35.62-106.24-7.4</f>
        <v>795250.74</v>
      </c>
      <c r="E61" s="157">
        <f t="shared" si="44"/>
        <v>795250.74</v>
      </c>
      <c r="F61" s="157">
        <f t="shared" si="44"/>
        <v>795208.40999999992</v>
      </c>
      <c r="G61" s="157">
        <f t="shared" si="45"/>
        <v>668100</v>
      </c>
      <c r="H61" s="157">
        <f t="shared" si="49"/>
        <v>668057.66999999993</v>
      </c>
      <c r="I61" s="156"/>
      <c r="J61" s="156"/>
      <c r="K61" s="175">
        <f>99896+45595+41509</f>
        <v>187000</v>
      </c>
      <c r="L61" s="156">
        <f>2500+8480+1440+3200+10000+10000+10000+10000+10000+10000+10000+15590+19020+10000+2440+1980+1700+10000+26160+2440+7880+6620+7880+10000+2440+2752+10800+1700+565.8+10000+10000</f>
        <v>245587.8</v>
      </c>
      <c r="M61" s="175">
        <f>257004+117305+106791</f>
        <v>481100</v>
      </c>
      <c r="N61" s="156">
        <f>15019+20000+14366+19807+19807+3500+10977+14133+13787.4+19227+10276.8+13756+16718+19290+8359+7420.8+8754.8+9645+9872.2+11700+13736+9002+7790+12088.4+5327.35+13181.5+10684.8+7765.8+5820.6+24106+40687.82</f>
        <v>416606.26999999996</v>
      </c>
      <c r="O61" s="156"/>
      <c r="P61" s="156">
        <f>5863.6</f>
        <v>5863.6</v>
      </c>
      <c r="Q61" s="179">
        <f t="shared" si="54"/>
        <v>127150.74</v>
      </c>
      <c r="R61" s="179">
        <f t="shared" si="55"/>
        <v>127150.73999999999</v>
      </c>
      <c r="S61" s="156"/>
      <c r="T61" s="156"/>
      <c r="U61" s="156">
        <f>127300-35.62-106.24-7.4</f>
        <v>127150.74</v>
      </c>
      <c r="V61" s="156">
        <f>195+440+455+10401.46+20802.92+195+660+31204.38+5160+20802.92+10401.46+11651.8+7450+7330.8</f>
        <v>127150.73999999999</v>
      </c>
      <c r="W61" s="175">
        <f t="shared" si="52"/>
        <v>0</v>
      </c>
      <c r="X61" s="175">
        <f t="shared" si="52"/>
        <v>0</v>
      </c>
      <c r="Y61" s="156"/>
      <c r="Z61" s="156"/>
      <c r="AA61" s="156"/>
      <c r="AB61" s="156"/>
      <c r="AC61" s="175">
        <f t="shared" si="53"/>
        <v>0</v>
      </c>
      <c r="AD61" s="175">
        <f t="shared" si="53"/>
        <v>0</v>
      </c>
      <c r="AE61" s="156"/>
      <c r="AF61" s="156"/>
      <c r="AG61" s="156"/>
      <c r="AH61" s="156"/>
    </row>
    <row r="62" spans="1:172" s="47" customFormat="1">
      <c r="A62" s="44" t="s">
        <v>106</v>
      </c>
      <c r="B62" s="48" t="s">
        <v>107</v>
      </c>
      <c r="C62" s="51" t="s">
        <v>52</v>
      </c>
      <c r="D62" s="174">
        <f>254300</f>
        <v>254300</v>
      </c>
      <c r="E62" s="157">
        <f t="shared" si="44"/>
        <v>254300</v>
      </c>
      <c r="F62" s="157">
        <f t="shared" si="44"/>
        <v>254175.87</v>
      </c>
      <c r="G62" s="157">
        <f t="shared" si="45"/>
        <v>254300</v>
      </c>
      <c r="H62" s="157">
        <f t="shared" si="49"/>
        <v>254175.87</v>
      </c>
      <c r="I62" s="156"/>
      <c r="J62" s="156"/>
      <c r="K62" s="175">
        <f>42603+19774+13823</f>
        <v>76200</v>
      </c>
      <c r="L62" s="156">
        <f>1440+1920+20100+7990+23690+3800+1820+7775+3830</f>
        <v>72365</v>
      </c>
      <c r="M62" s="175">
        <f>99597+46226+32277</f>
        <v>178100</v>
      </c>
      <c r="N62" s="156">
        <f>21154+33855.87+14742+14700+6250+15920+2950+3550+20514+16561+14614+17000</f>
        <v>181810.87</v>
      </c>
      <c r="O62" s="156"/>
      <c r="P62" s="156"/>
      <c r="Q62" s="179">
        <f t="shared" si="54"/>
        <v>0</v>
      </c>
      <c r="R62" s="179">
        <f t="shared" si="55"/>
        <v>0</v>
      </c>
      <c r="S62" s="156"/>
      <c r="T62" s="156"/>
      <c r="U62" s="156"/>
      <c r="V62" s="156"/>
      <c r="W62" s="175">
        <f t="shared" si="52"/>
        <v>0</v>
      </c>
      <c r="X62" s="175">
        <f t="shared" si="52"/>
        <v>0</v>
      </c>
      <c r="Y62" s="156"/>
      <c r="Z62" s="156"/>
      <c r="AA62" s="156"/>
      <c r="AB62" s="156"/>
      <c r="AC62" s="175">
        <f t="shared" si="53"/>
        <v>0</v>
      </c>
      <c r="AD62" s="175">
        <f t="shared" si="53"/>
        <v>0</v>
      </c>
      <c r="AE62" s="156"/>
      <c r="AF62" s="156"/>
      <c r="AG62" s="156"/>
      <c r="AH62" s="156"/>
    </row>
    <row r="63" spans="1:172" s="7" customFormat="1" ht="25.5" customHeight="1">
      <c r="A63" s="341" t="s">
        <v>108</v>
      </c>
      <c r="B63" s="342"/>
      <c r="C63" s="16"/>
      <c r="D63" s="173">
        <f>SUM(D64:D66)</f>
        <v>98000</v>
      </c>
      <c r="E63" s="173">
        <f t="shared" ref="E63:AH63" si="56">SUM(E64:E66)</f>
        <v>98000</v>
      </c>
      <c r="F63" s="173">
        <f t="shared" si="56"/>
        <v>97898.240000000005</v>
      </c>
      <c r="G63" s="173">
        <f t="shared" si="56"/>
        <v>98000</v>
      </c>
      <c r="H63" s="173">
        <f t="shared" si="56"/>
        <v>97898.240000000005</v>
      </c>
      <c r="I63" s="173">
        <f t="shared" si="56"/>
        <v>0</v>
      </c>
      <c r="J63" s="173">
        <f t="shared" si="56"/>
        <v>0</v>
      </c>
      <c r="K63" s="173">
        <f t="shared" si="56"/>
        <v>29000</v>
      </c>
      <c r="L63" s="173">
        <f t="shared" si="56"/>
        <v>70875.02</v>
      </c>
      <c r="M63" s="173">
        <f t="shared" si="56"/>
        <v>69000</v>
      </c>
      <c r="N63" s="173">
        <f t="shared" si="56"/>
        <v>12040</v>
      </c>
      <c r="O63" s="173">
        <f t="shared" si="56"/>
        <v>0</v>
      </c>
      <c r="P63" s="173">
        <f t="shared" si="56"/>
        <v>14983.22</v>
      </c>
      <c r="Q63" s="173">
        <f t="shared" si="56"/>
        <v>0</v>
      </c>
      <c r="R63" s="173">
        <f t="shared" si="56"/>
        <v>0</v>
      </c>
      <c r="S63" s="173">
        <f t="shared" si="56"/>
        <v>0</v>
      </c>
      <c r="T63" s="173">
        <f t="shared" si="56"/>
        <v>0</v>
      </c>
      <c r="U63" s="173">
        <f t="shared" si="56"/>
        <v>0</v>
      </c>
      <c r="V63" s="173">
        <f t="shared" si="56"/>
        <v>0</v>
      </c>
      <c r="W63" s="173">
        <f t="shared" si="56"/>
        <v>0</v>
      </c>
      <c r="X63" s="173">
        <f t="shared" si="56"/>
        <v>0</v>
      </c>
      <c r="Y63" s="173">
        <f t="shared" si="56"/>
        <v>0</v>
      </c>
      <c r="Z63" s="173">
        <f t="shared" si="56"/>
        <v>0</v>
      </c>
      <c r="AA63" s="173">
        <f t="shared" si="56"/>
        <v>0</v>
      </c>
      <c r="AB63" s="173">
        <f t="shared" si="56"/>
        <v>0</v>
      </c>
      <c r="AC63" s="173">
        <f t="shared" si="56"/>
        <v>0</v>
      </c>
      <c r="AD63" s="173">
        <f t="shared" si="56"/>
        <v>0</v>
      </c>
      <c r="AE63" s="173">
        <f t="shared" si="56"/>
        <v>0</v>
      </c>
      <c r="AF63" s="173">
        <f t="shared" si="56"/>
        <v>0</v>
      </c>
      <c r="AG63" s="173">
        <f t="shared" si="56"/>
        <v>0</v>
      </c>
      <c r="AH63" s="173">
        <f t="shared" si="56"/>
        <v>0</v>
      </c>
    </row>
    <row r="64" spans="1:172" s="7" customFormat="1">
      <c r="A64" s="27" t="s">
        <v>109</v>
      </c>
      <c r="B64" s="28" t="s">
        <v>110</v>
      </c>
      <c r="C64" s="29" t="s">
        <v>111</v>
      </c>
      <c r="D64" s="169">
        <f>15000+18000+12000+18000+17000+18000</f>
        <v>98000</v>
      </c>
      <c r="E64" s="157">
        <f t="shared" ref="E64:F66" si="57">G64+Q64+W64+AC64</f>
        <v>98000</v>
      </c>
      <c r="F64" s="157">
        <f t="shared" si="57"/>
        <v>97898.240000000005</v>
      </c>
      <c r="G64" s="157">
        <f t="shared" ref="G64:G66" si="58">I64+K64+M64+O64</f>
        <v>98000</v>
      </c>
      <c r="H64" s="157">
        <f>SUM(J64+L64+N64+P64)</f>
        <v>97898.240000000005</v>
      </c>
      <c r="I64" s="157"/>
      <c r="J64" s="157"/>
      <c r="K64" s="157">
        <f>12575+6510+9915</f>
        <v>29000</v>
      </c>
      <c r="L64" s="157">
        <f>500+500+3000+4360+2000+1600+500+1000+1032+368+1000+11640+8400+1000+168+472+208+2220+1960+1346+7600+1960+1480+2868+6191.02+472+510+750+1470+500+2000+500+600+700</f>
        <v>70875.02</v>
      </c>
      <c r="M64" s="157">
        <f>29925+15490+23585</f>
        <v>69000</v>
      </c>
      <c r="N64" s="157">
        <f>3580+6500+1960</f>
        <v>12040</v>
      </c>
      <c r="O64" s="157"/>
      <c r="P64" s="157">
        <f>631.3+665.01+1217.66+113.85+2658.71+116.9+631.3+5892.45+631.3+2424.74</f>
        <v>14983.22</v>
      </c>
      <c r="Q64" s="157">
        <f>SUM(S64+U64)</f>
        <v>0</v>
      </c>
      <c r="R64" s="157">
        <f>SUM(T64+V64)</f>
        <v>0</v>
      </c>
      <c r="S64" s="157"/>
      <c r="T64" s="157"/>
      <c r="U64" s="157"/>
      <c r="V64" s="157"/>
      <c r="W64" s="157">
        <f>SUM(Y64+AA64)</f>
        <v>0</v>
      </c>
      <c r="X64" s="157">
        <f>SUM(Z64+AB64)</f>
        <v>0</v>
      </c>
      <c r="Y64" s="157"/>
      <c r="Z64" s="157"/>
      <c r="AA64" s="157"/>
      <c r="AB64" s="157"/>
      <c r="AC64" s="157">
        <f>SUM(AE64+AG64)</f>
        <v>0</v>
      </c>
      <c r="AD64" s="157">
        <f>SUM(AF64+AH64)</f>
        <v>0</v>
      </c>
      <c r="AE64" s="157"/>
      <c r="AF64" s="157"/>
      <c r="AG64" s="157"/>
      <c r="AH64" s="157"/>
    </row>
    <row r="65" spans="1:172" s="7" customFormat="1">
      <c r="A65" s="33" t="s">
        <v>112</v>
      </c>
      <c r="B65" s="34" t="s">
        <v>113</v>
      </c>
      <c r="C65" s="35" t="s">
        <v>37</v>
      </c>
      <c r="D65" s="174"/>
      <c r="E65" s="157">
        <f>G65+Q65+W65+AC65</f>
        <v>0</v>
      </c>
      <c r="F65" s="157">
        <f t="shared" si="57"/>
        <v>0</v>
      </c>
      <c r="G65" s="157">
        <f>I65+K65+M65+O65</f>
        <v>0</v>
      </c>
      <c r="H65" s="157">
        <f>SUM(J65+L65+N65+P65)</f>
        <v>0</v>
      </c>
      <c r="I65" s="175"/>
      <c r="J65" s="175"/>
      <c r="K65" s="175"/>
      <c r="L65" s="175"/>
      <c r="M65" s="175"/>
      <c r="N65" s="175"/>
      <c r="O65" s="175"/>
      <c r="P65" s="175"/>
      <c r="Q65" s="157">
        <f t="shared" ref="Q65:R66" si="59">SUM(S65+U65)</f>
        <v>0</v>
      </c>
      <c r="R65" s="157">
        <f t="shared" si="59"/>
        <v>0</v>
      </c>
      <c r="S65" s="175"/>
      <c r="T65" s="175"/>
      <c r="U65" s="175"/>
      <c r="V65" s="175"/>
      <c r="W65" s="157">
        <f t="shared" ref="W65:X66" si="60">SUM(Y65+AA65)</f>
        <v>0</v>
      </c>
      <c r="X65" s="157">
        <f t="shared" si="60"/>
        <v>0</v>
      </c>
      <c r="Y65" s="175"/>
      <c r="Z65" s="175"/>
      <c r="AA65" s="175"/>
      <c r="AB65" s="175"/>
      <c r="AC65" s="157">
        <f t="shared" ref="AC65:AD66" si="61">SUM(AE65+AG65)</f>
        <v>0</v>
      </c>
      <c r="AD65" s="157">
        <f t="shared" si="61"/>
        <v>0</v>
      </c>
      <c r="AE65" s="175"/>
      <c r="AF65" s="175"/>
      <c r="AG65" s="175"/>
      <c r="AH65" s="175"/>
    </row>
    <row r="66" spans="1:172" s="7" customFormat="1">
      <c r="A66" s="33" t="s">
        <v>114</v>
      </c>
      <c r="B66" s="34" t="s">
        <v>115</v>
      </c>
      <c r="C66" s="35" t="s">
        <v>52</v>
      </c>
      <c r="D66" s="174"/>
      <c r="E66" s="157">
        <f t="shared" si="57"/>
        <v>0</v>
      </c>
      <c r="F66" s="157">
        <f t="shared" si="57"/>
        <v>0</v>
      </c>
      <c r="G66" s="157">
        <f t="shared" si="58"/>
        <v>0</v>
      </c>
      <c r="H66" s="157">
        <f t="shared" ref="H66" si="62">SUM(J66+L66+N66+P66)</f>
        <v>0</v>
      </c>
      <c r="I66" s="175"/>
      <c r="J66" s="175"/>
      <c r="K66" s="175"/>
      <c r="L66" s="175"/>
      <c r="M66" s="175"/>
      <c r="N66" s="175"/>
      <c r="O66" s="175"/>
      <c r="P66" s="175"/>
      <c r="Q66" s="157">
        <f t="shared" si="59"/>
        <v>0</v>
      </c>
      <c r="R66" s="157">
        <f t="shared" si="59"/>
        <v>0</v>
      </c>
      <c r="S66" s="175"/>
      <c r="T66" s="175"/>
      <c r="U66" s="175"/>
      <c r="V66" s="175"/>
      <c r="W66" s="157">
        <f t="shared" si="60"/>
        <v>0</v>
      </c>
      <c r="X66" s="157">
        <f t="shared" si="60"/>
        <v>0</v>
      </c>
      <c r="Y66" s="175"/>
      <c r="Z66" s="175"/>
      <c r="AA66" s="175"/>
      <c r="AB66" s="175"/>
      <c r="AC66" s="157">
        <f t="shared" si="61"/>
        <v>0</v>
      </c>
      <c r="AD66" s="157">
        <f t="shared" si="61"/>
        <v>0</v>
      </c>
      <c r="AE66" s="175"/>
      <c r="AF66" s="175"/>
      <c r="AG66" s="175"/>
      <c r="AH66" s="175"/>
    </row>
    <row r="67" spans="1:172" s="22" customFormat="1" ht="28.5" thickBot="1">
      <c r="A67" s="343" t="s">
        <v>116</v>
      </c>
      <c r="B67" s="344"/>
      <c r="C67" s="52"/>
      <c r="D67" s="181">
        <f>D68</f>
        <v>18267038.940000001</v>
      </c>
      <c r="E67" s="181">
        <f t="shared" ref="E67:AH67" si="63">E68</f>
        <v>18265536.140000001</v>
      </c>
      <c r="F67" s="181">
        <f t="shared" si="63"/>
        <v>18252170.350000001</v>
      </c>
      <c r="G67" s="181">
        <f t="shared" si="63"/>
        <v>3238251.54</v>
      </c>
      <c r="H67" s="181">
        <f t="shared" si="63"/>
        <v>3234428.9099999997</v>
      </c>
      <c r="I67" s="181">
        <f t="shared" si="63"/>
        <v>137100</v>
      </c>
      <c r="J67" s="181">
        <f t="shared" si="63"/>
        <v>738980.83</v>
      </c>
      <c r="K67" s="181">
        <f t="shared" si="63"/>
        <v>2058600</v>
      </c>
      <c r="L67" s="181">
        <f t="shared" si="63"/>
        <v>1565681.54</v>
      </c>
      <c r="M67" s="181">
        <f t="shared" si="63"/>
        <v>521800</v>
      </c>
      <c r="N67" s="181">
        <f t="shared" si="63"/>
        <v>213040</v>
      </c>
      <c r="O67" s="181">
        <f t="shared" si="63"/>
        <v>520751.54</v>
      </c>
      <c r="P67" s="181">
        <f t="shared" si="63"/>
        <v>716726.53999999969</v>
      </c>
      <c r="Q67" s="181">
        <f t="shared" si="63"/>
        <v>8148484.5999999996</v>
      </c>
      <c r="R67" s="181">
        <f t="shared" si="63"/>
        <v>8148484.6000000006</v>
      </c>
      <c r="S67" s="181">
        <f t="shared" si="63"/>
        <v>0</v>
      </c>
      <c r="T67" s="181">
        <f t="shared" si="63"/>
        <v>0</v>
      </c>
      <c r="U67" s="181">
        <f t="shared" si="63"/>
        <v>8148484.5999999996</v>
      </c>
      <c r="V67" s="181">
        <f t="shared" si="63"/>
        <v>8148484.6000000006</v>
      </c>
      <c r="W67" s="181">
        <f t="shared" si="63"/>
        <v>5385400</v>
      </c>
      <c r="X67" s="181">
        <f t="shared" si="63"/>
        <v>5376400</v>
      </c>
      <c r="Y67" s="181">
        <f t="shared" si="63"/>
        <v>0</v>
      </c>
      <c r="Z67" s="181">
        <f t="shared" si="63"/>
        <v>0</v>
      </c>
      <c r="AA67" s="181">
        <f t="shared" si="63"/>
        <v>5385400</v>
      </c>
      <c r="AB67" s="181">
        <f t="shared" si="63"/>
        <v>5376400</v>
      </c>
      <c r="AC67" s="181">
        <f t="shared" si="63"/>
        <v>1493400</v>
      </c>
      <c r="AD67" s="181">
        <f t="shared" si="63"/>
        <v>1492856.84</v>
      </c>
      <c r="AE67" s="181">
        <f t="shared" si="63"/>
        <v>0</v>
      </c>
      <c r="AF67" s="181">
        <f t="shared" si="63"/>
        <v>0</v>
      </c>
      <c r="AG67" s="181">
        <f t="shared" si="63"/>
        <v>1493400</v>
      </c>
      <c r="AH67" s="181">
        <f t="shared" si="63"/>
        <v>1492856.84</v>
      </c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</row>
    <row r="68" spans="1:172" s="54" customFormat="1" ht="51" customHeight="1">
      <c r="A68" s="333" t="s">
        <v>117</v>
      </c>
      <c r="B68" s="334"/>
      <c r="C68" s="53"/>
      <c r="D68" s="182">
        <f>D69+D125</f>
        <v>18267038.940000001</v>
      </c>
      <c r="E68" s="182">
        <f t="shared" ref="E68:AH68" si="64">E69+E125</f>
        <v>18265536.140000001</v>
      </c>
      <c r="F68" s="182">
        <f t="shared" si="64"/>
        <v>18252170.350000001</v>
      </c>
      <c r="G68" s="182">
        <f t="shared" si="64"/>
        <v>3238251.54</v>
      </c>
      <c r="H68" s="182">
        <f t="shared" si="64"/>
        <v>3234428.9099999997</v>
      </c>
      <c r="I68" s="182">
        <f t="shared" si="64"/>
        <v>137100</v>
      </c>
      <c r="J68" s="182">
        <f t="shared" si="64"/>
        <v>738980.83</v>
      </c>
      <c r="K68" s="182">
        <f t="shared" si="64"/>
        <v>2058600</v>
      </c>
      <c r="L68" s="182">
        <f t="shared" si="64"/>
        <v>1565681.54</v>
      </c>
      <c r="M68" s="182">
        <f t="shared" si="64"/>
        <v>521800</v>
      </c>
      <c r="N68" s="182">
        <f t="shared" si="64"/>
        <v>213040</v>
      </c>
      <c r="O68" s="182">
        <f t="shared" si="64"/>
        <v>520751.54</v>
      </c>
      <c r="P68" s="182">
        <f t="shared" si="64"/>
        <v>716726.53999999969</v>
      </c>
      <c r="Q68" s="182">
        <f t="shared" si="64"/>
        <v>8148484.5999999996</v>
      </c>
      <c r="R68" s="182">
        <f t="shared" si="64"/>
        <v>8148484.6000000006</v>
      </c>
      <c r="S68" s="182">
        <f t="shared" si="64"/>
        <v>0</v>
      </c>
      <c r="T68" s="182">
        <f t="shared" si="64"/>
        <v>0</v>
      </c>
      <c r="U68" s="182">
        <f t="shared" si="64"/>
        <v>8148484.5999999996</v>
      </c>
      <c r="V68" s="182">
        <f t="shared" si="64"/>
        <v>8148484.6000000006</v>
      </c>
      <c r="W68" s="182">
        <f t="shared" si="64"/>
        <v>5385400</v>
      </c>
      <c r="X68" s="182">
        <f t="shared" si="64"/>
        <v>5376400</v>
      </c>
      <c r="Y68" s="182">
        <f t="shared" si="64"/>
        <v>0</v>
      </c>
      <c r="Z68" s="182">
        <f t="shared" si="64"/>
        <v>0</v>
      </c>
      <c r="AA68" s="182">
        <f t="shared" si="64"/>
        <v>5385400</v>
      </c>
      <c r="AB68" s="182">
        <f t="shared" si="64"/>
        <v>5376400</v>
      </c>
      <c r="AC68" s="182">
        <f t="shared" si="64"/>
        <v>1493400</v>
      </c>
      <c r="AD68" s="182">
        <f t="shared" si="64"/>
        <v>1492856.84</v>
      </c>
      <c r="AE68" s="182">
        <f t="shared" si="64"/>
        <v>0</v>
      </c>
      <c r="AF68" s="182">
        <f t="shared" si="64"/>
        <v>0</v>
      </c>
      <c r="AG68" s="182">
        <f t="shared" si="64"/>
        <v>1493400</v>
      </c>
      <c r="AH68" s="182">
        <f t="shared" si="64"/>
        <v>1492856.84</v>
      </c>
    </row>
    <row r="69" spans="1:172" s="57" customFormat="1">
      <c r="A69" s="325" t="s">
        <v>118</v>
      </c>
      <c r="B69" s="327"/>
      <c r="C69" s="55"/>
      <c r="D69" s="183">
        <f>D70+D78+D85+D94+D100+D107+D113+D119+D121</f>
        <v>15321187.4</v>
      </c>
      <c r="E69" s="183">
        <f t="shared" ref="E69:AH69" si="65">E70+E78+E85+E94+E100+E107+E113+E119+E121</f>
        <v>15319684.6</v>
      </c>
      <c r="F69" s="183">
        <f t="shared" si="65"/>
        <v>15307065.190000001</v>
      </c>
      <c r="G69" s="183">
        <f t="shared" si="65"/>
        <v>2263800</v>
      </c>
      <c r="H69" s="183">
        <f t="shared" si="65"/>
        <v>2260723.75</v>
      </c>
      <c r="I69" s="183">
        <f t="shared" si="65"/>
        <v>137100</v>
      </c>
      <c r="J69" s="183">
        <f t="shared" si="65"/>
        <v>738980.83</v>
      </c>
      <c r="K69" s="183">
        <f t="shared" si="65"/>
        <v>1774900</v>
      </c>
      <c r="L69" s="183">
        <f t="shared" si="65"/>
        <v>1303839.6300000001</v>
      </c>
      <c r="M69" s="183">
        <f t="shared" si="65"/>
        <v>351800</v>
      </c>
      <c r="N69" s="183">
        <f t="shared" si="65"/>
        <v>166825</v>
      </c>
      <c r="O69" s="183">
        <f t="shared" si="65"/>
        <v>0</v>
      </c>
      <c r="P69" s="183">
        <f t="shared" si="65"/>
        <v>51078.29</v>
      </c>
      <c r="Q69" s="183">
        <f t="shared" si="65"/>
        <v>6177084.5999999996</v>
      </c>
      <c r="R69" s="183">
        <f t="shared" si="65"/>
        <v>6177084.6000000006</v>
      </c>
      <c r="S69" s="183">
        <f t="shared" si="65"/>
        <v>0</v>
      </c>
      <c r="T69" s="183">
        <f t="shared" si="65"/>
        <v>0</v>
      </c>
      <c r="U69" s="183">
        <f t="shared" si="65"/>
        <v>6177084.5999999996</v>
      </c>
      <c r="V69" s="183">
        <f t="shared" si="65"/>
        <v>6177084.6000000006</v>
      </c>
      <c r="W69" s="183">
        <f t="shared" si="65"/>
        <v>5385400</v>
      </c>
      <c r="X69" s="183">
        <f t="shared" si="65"/>
        <v>5376400</v>
      </c>
      <c r="Y69" s="183">
        <f t="shared" si="65"/>
        <v>0</v>
      </c>
      <c r="Z69" s="183">
        <f t="shared" si="65"/>
        <v>0</v>
      </c>
      <c r="AA69" s="183">
        <f t="shared" si="65"/>
        <v>5385400</v>
      </c>
      <c r="AB69" s="183">
        <f t="shared" si="65"/>
        <v>5376400</v>
      </c>
      <c r="AC69" s="183">
        <f t="shared" si="65"/>
        <v>1493400</v>
      </c>
      <c r="AD69" s="183">
        <f t="shared" si="65"/>
        <v>1492856.84</v>
      </c>
      <c r="AE69" s="183">
        <f t="shared" si="65"/>
        <v>0</v>
      </c>
      <c r="AF69" s="183">
        <f t="shared" si="65"/>
        <v>0</v>
      </c>
      <c r="AG69" s="183">
        <f t="shared" si="65"/>
        <v>1493400</v>
      </c>
      <c r="AH69" s="183">
        <f t="shared" si="65"/>
        <v>1492856.84</v>
      </c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  <c r="EO69" s="56"/>
      <c r="EP69" s="56"/>
      <c r="EQ69" s="56"/>
      <c r="ER69" s="56"/>
      <c r="ES69" s="56"/>
      <c r="ET69" s="56"/>
      <c r="EU69" s="56"/>
      <c r="EV69" s="56"/>
      <c r="EW69" s="56"/>
      <c r="EX69" s="56"/>
      <c r="EY69" s="56"/>
      <c r="EZ69" s="56"/>
      <c r="FA69" s="56"/>
      <c r="FB69" s="56"/>
      <c r="FC69" s="56"/>
      <c r="FD69" s="56"/>
      <c r="FE69" s="56"/>
      <c r="FF69" s="56"/>
      <c r="FG69" s="56"/>
      <c r="FH69" s="56"/>
      <c r="FI69" s="56"/>
      <c r="FJ69" s="56"/>
      <c r="FK69" s="56"/>
      <c r="FL69" s="56"/>
      <c r="FM69" s="56"/>
      <c r="FN69" s="56"/>
      <c r="FO69" s="56"/>
      <c r="FP69" s="56"/>
    </row>
    <row r="70" spans="1:172" s="7" customFormat="1">
      <c r="A70" s="319" t="s">
        <v>119</v>
      </c>
      <c r="B70" s="320"/>
      <c r="C70" s="58"/>
      <c r="D70" s="184">
        <f>D71+D72+D75+D76+D77</f>
        <v>3844053.4</v>
      </c>
      <c r="E70" s="184">
        <f>E71+E72+E75+E76+E77</f>
        <v>3842550.5999999996</v>
      </c>
      <c r="F70" s="184">
        <f t="shared" ref="F70:AH70" si="66">F71+F72+F75+F76+F77</f>
        <v>3841315.5900000003</v>
      </c>
      <c r="G70" s="184">
        <f t="shared" si="66"/>
        <v>1375400</v>
      </c>
      <c r="H70" s="184">
        <f t="shared" si="66"/>
        <v>1374164.99</v>
      </c>
      <c r="I70" s="184">
        <f t="shared" si="66"/>
        <v>0</v>
      </c>
      <c r="J70" s="184">
        <f t="shared" si="66"/>
        <v>738980.83</v>
      </c>
      <c r="K70" s="184">
        <f t="shared" si="66"/>
        <v>1249400</v>
      </c>
      <c r="L70" s="184">
        <f t="shared" si="66"/>
        <v>495138.75999999995</v>
      </c>
      <c r="M70" s="184">
        <f t="shared" si="66"/>
        <v>126000</v>
      </c>
      <c r="N70" s="184">
        <f t="shared" si="66"/>
        <v>101264</v>
      </c>
      <c r="O70" s="184">
        <f t="shared" si="66"/>
        <v>0</v>
      </c>
      <c r="P70" s="184">
        <f t="shared" si="66"/>
        <v>38781.4</v>
      </c>
      <c r="Q70" s="184">
        <f t="shared" si="66"/>
        <v>1807150.5999999999</v>
      </c>
      <c r="R70" s="184">
        <f t="shared" si="66"/>
        <v>1807150.6000000003</v>
      </c>
      <c r="S70" s="184">
        <f t="shared" si="66"/>
        <v>0</v>
      </c>
      <c r="T70" s="184">
        <f t="shared" si="66"/>
        <v>0</v>
      </c>
      <c r="U70" s="184">
        <f t="shared" si="66"/>
        <v>1807150.5999999999</v>
      </c>
      <c r="V70" s="184">
        <f t="shared" si="66"/>
        <v>1807150.6000000003</v>
      </c>
      <c r="W70" s="184">
        <f t="shared" si="66"/>
        <v>660000</v>
      </c>
      <c r="X70" s="184">
        <f t="shared" si="66"/>
        <v>660000</v>
      </c>
      <c r="Y70" s="184">
        <f t="shared" si="66"/>
        <v>0</v>
      </c>
      <c r="Z70" s="184">
        <f t="shared" si="66"/>
        <v>0</v>
      </c>
      <c r="AA70" s="184">
        <f t="shared" si="66"/>
        <v>660000</v>
      </c>
      <c r="AB70" s="184">
        <f t="shared" si="66"/>
        <v>660000</v>
      </c>
      <c r="AC70" s="184">
        <f t="shared" si="66"/>
        <v>0</v>
      </c>
      <c r="AD70" s="184">
        <f t="shared" si="66"/>
        <v>0</v>
      </c>
      <c r="AE70" s="184">
        <f t="shared" si="66"/>
        <v>0</v>
      </c>
      <c r="AF70" s="184">
        <f t="shared" si="66"/>
        <v>0</v>
      </c>
      <c r="AG70" s="184">
        <f t="shared" si="66"/>
        <v>0</v>
      </c>
      <c r="AH70" s="184">
        <f t="shared" si="66"/>
        <v>0</v>
      </c>
    </row>
    <row r="71" spans="1:172" s="7" customFormat="1">
      <c r="A71" s="27" t="s">
        <v>14</v>
      </c>
      <c r="B71" s="59" t="s">
        <v>120</v>
      </c>
      <c r="C71" s="29" t="s">
        <v>22</v>
      </c>
      <c r="D71" s="169">
        <f>108000</f>
        <v>108000</v>
      </c>
      <c r="E71" s="157">
        <f>G71+Q71+W71+AC71</f>
        <v>108000</v>
      </c>
      <c r="F71" s="157">
        <f t="shared" ref="F71" si="67">H71+R71+X71+AD71</f>
        <v>107944</v>
      </c>
      <c r="G71" s="157">
        <f t="shared" ref="G71:H124" si="68">I71+K71+M71+O71</f>
        <v>108000</v>
      </c>
      <c r="H71" s="169">
        <f>SUM(J71+L71+N71+P71)</f>
        <v>107944</v>
      </c>
      <c r="I71" s="169"/>
      <c r="J71" s="169">
        <f>6300+9000+9000+9000+9000+9000+9000+9000+9000+9000+9000</f>
        <v>96300</v>
      </c>
      <c r="K71" s="169">
        <f>54000+27000+27000</f>
        <v>108000</v>
      </c>
      <c r="L71" s="169">
        <f>500+1500+2000+1000+1500+1000+3144+1000</f>
        <v>11644</v>
      </c>
      <c r="M71" s="169"/>
      <c r="N71" s="169"/>
      <c r="O71" s="169"/>
      <c r="P71" s="169"/>
      <c r="Q71" s="156">
        <f>SUM(S71+U71)</f>
        <v>0</v>
      </c>
      <c r="R71" s="156">
        <f>SUM(T71+V71)</f>
        <v>0</v>
      </c>
      <c r="S71" s="169"/>
      <c r="T71" s="169"/>
      <c r="U71" s="169"/>
      <c r="V71" s="169"/>
      <c r="W71" s="169">
        <f>SUM(Y71+AA71)</f>
        <v>0</v>
      </c>
      <c r="X71" s="169">
        <f>SUM(Z71+AB71)</f>
        <v>0</v>
      </c>
      <c r="Y71" s="169"/>
      <c r="Z71" s="169"/>
      <c r="AA71" s="169"/>
      <c r="AB71" s="169"/>
      <c r="AC71" s="169">
        <f>SUM(AE71+AG71)</f>
        <v>0</v>
      </c>
      <c r="AD71" s="169">
        <f>SUM(AF71+AH71)</f>
        <v>0</v>
      </c>
      <c r="AE71" s="169"/>
      <c r="AF71" s="169"/>
      <c r="AG71" s="169"/>
      <c r="AH71" s="169"/>
    </row>
    <row r="72" spans="1:172" s="7" customFormat="1" ht="24" customHeight="1">
      <c r="A72" s="33" t="s">
        <v>23</v>
      </c>
      <c r="B72" s="34" t="s">
        <v>121</v>
      </c>
      <c r="C72" s="35"/>
      <c r="D72" s="174">
        <f>D73+D74</f>
        <v>1002800</v>
      </c>
      <c r="E72" s="174">
        <f>E73+E74</f>
        <v>1002800</v>
      </c>
      <c r="F72" s="174">
        <f t="shared" ref="F72:AH72" si="69">F73+F74</f>
        <v>1001931.2899999999</v>
      </c>
      <c r="G72" s="174">
        <f t="shared" si="69"/>
        <v>1002800</v>
      </c>
      <c r="H72" s="174">
        <f>H73+H74</f>
        <v>1001931.2899999999</v>
      </c>
      <c r="I72" s="174">
        <f t="shared" si="69"/>
        <v>0</v>
      </c>
      <c r="J72" s="174">
        <f t="shared" si="69"/>
        <v>642680.82999999996</v>
      </c>
      <c r="K72" s="174">
        <f t="shared" si="69"/>
        <v>876800</v>
      </c>
      <c r="L72" s="174">
        <f t="shared" si="69"/>
        <v>332306.45999999996</v>
      </c>
      <c r="M72" s="174">
        <f t="shared" si="69"/>
        <v>126000</v>
      </c>
      <c r="N72" s="174">
        <f t="shared" si="69"/>
        <v>26944</v>
      </c>
      <c r="O72" s="174">
        <f t="shared" si="69"/>
        <v>0</v>
      </c>
      <c r="P72" s="174">
        <f t="shared" si="69"/>
        <v>0</v>
      </c>
      <c r="Q72" s="174">
        <f t="shared" si="69"/>
        <v>0</v>
      </c>
      <c r="R72" s="174">
        <f t="shared" si="69"/>
        <v>0</v>
      </c>
      <c r="S72" s="174">
        <f t="shared" si="69"/>
        <v>0</v>
      </c>
      <c r="T72" s="174">
        <f t="shared" si="69"/>
        <v>0</v>
      </c>
      <c r="U72" s="174">
        <f t="shared" si="69"/>
        <v>0</v>
      </c>
      <c r="V72" s="174">
        <f t="shared" si="69"/>
        <v>0</v>
      </c>
      <c r="W72" s="174">
        <f t="shared" si="69"/>
        <v>0</v>
      </c>
      <c r="X72" s="174">
        <f t="shared" si="69"/>
        <v>0</v>
      </c>
      <c r="Y72" s="174">
        <f t="shared" si="69"/>
        <v>0</v>
      </c>
      <c r="Z72" s="174">
        <f t="shared" si="69"/>
        <v>0</v>
      </c>
      <c r="AA72" s="174">
        <f t="shared" si="69"/>
        <v>0</v>
      </c>
      <c r="AB72" s="174">
        <f t="shared" si="69"/>
        <v>0</v>
      </c>
      <c r="AC72" s="174">
        <f t="shared" si="69"/>
        <v>0</v>
      </c>
      <c r="AD72" s="174">
        <f t="shared" si="69"/>
        <v>0</v>
      </c>
      <c r="AE72" s="174">
        <f t="shared" si="69"/>
        <v>0</v>
      </c>
      <c r="AF72" s="174">
        <f t="shared" si="69"/>
        <v>0</v>
      </c>
      <c r="AG72" s="174">
        <f t="shared" si="69"/>
        <v>0</v>
      </c>
      <c r="AH72" s="174">
        <f t="shared" si="69"/>
        <v>0</v>
      </c>
    </row>
    <row r="73" spans="1:172" s="43" customFormat="1" ht="24" customHeight="1">
      <c r="A73" s="41"/>
      <c r="B73" s="38" t="s">
        <v>122</v>
      </c>
      <c r="C73" s="42" t="s">
        <v>22</v>
      </c>
      <c r="D73" s="177">
        <f>576400+180200+180200</f>
        <v>936800</v>
      </c>
      <c r="E73" s="269">
        <f>G73+Q73+W73+AC73</f>
        <v>936800</v>
      </c>
      <c r="F73" s="157">
        <f>H73+R73+X73+AD73</f>
        <v>935931.28999999992</v>
      </c>
      <c r="G73" s="157">
        <f t="shared" si="68"/>
        <v>936800</v>
      </c>
      <c r="H73" s="178">
        <f>SUM(J73+L73+N73+P73)</f>
        <v>935931.28999999992</v>
      </c>
      <c r="I73" s="178"/>
      <c r="J73" s="178">
        <f>36000+9000+9000+36000+9000+9000+36000+9000+9000+36000+9000+9000+35035.71+9000+9000+36000+9000+9000+36000+9000+9000+31645.12+9000+9000+36000+9000+9000+36000+9000+9000+36000+36000+9000+9000+9000+9000</f>
        <v>642680.82999999996</v>
      </c>
      <c r="K73" s="178">
        <f>381258+233709+225833</f>
        <v>840800</v>
      </c>
      <c r="L73" s="178">
        <f>12080+20906.46+7080+3440+9520+5860+9760+8460+1300+25000+13020+12040+10740+10240+10720+8220+2980+11700+13770+10270+7960+6140+8680+12088.71+6160+12080+3031.29+13800+380</f>
        <v>277426.45999999996</v>
      </c>
      <c r="M73" s="178">
        <f>43542+26691+25767</f>
        <v>96000</v>
      </c>
      <c r="N73" s="178">
        <f>15824</f>
        <v>15824</v>
      </c>
      <c r="O73" s="178"/>
      <c r="P73" s="178"/>
      <c r="Q73" s="156">
        <f t="shared" ref="Q73:Q74" si="70">SUM(S73+U73)</f>
        <v>0</v>
      </c>
      <c r="R73" s="156">
        <f t="shared" ref="R73:R77" si="71">SUM(T73+V73)</f>
        <v>0</v>
      </c>
      <c r="S73" s="178"/>
      <c r="T73" s="178"/>
      <c r="U73" s="177"/>
      <c r="V73" s="177"/>
      <c r="W73" s="169">
        <f t="shared" ref="W73:X77" si="72">SUM(Y73+AA73)</f>
        <v>0</v>
      </c>
      <c r="X73" s="169">
        <f t="shared" si="72"/>
        <v>0</v>
      </c>
      <c r="Y73" s="178"/>
      <c r="Z73" s="178"/>
      <c r="AA73" s="178"/>
      <c r="AB73" s="178"/>
      <c r="AC73" s="169">
        <f t="shared" ref="AC73:AD77" si="73">SUM(AE73+AG73)</f>
        <v>0</v>
      </c>
      <c r="AD73" s="169">
        <f t="shared" si="73"/>
        <v>0</v>
      </c>
      <c r="AE73" s="178"/>
      <c r="AF73" s="178"/>
      <c r="AG73" s="178"/>
      <c r="AH73" s="178"/>
    </row>
    <row r="74" spans="1:172" s="43" customFormat="1" ht="24" customHeight="1">
      <c r="A74" s="41"/>
      <c r="B74" s="38" t="s">
        <v>123</v>
      </c>
      <c r="C74" s="42" t="s">
        <v>82</v>
      </c>
      <c r="D74" s="177">
        <f>66000</f>
        <v>66000</v>
      </c>
      <c r="E74" s="269">
        <f>G74+Q74+W74+AC74</f>
        <v>66000</v>
      </c>
      <c r="F74" s="157">
        <f t="shared" ref="F74:F77" si="74">H74+R74+X74+AD74</f>
        <v>66000</v>
      </c>
      <c r="G74" s="157">
        <f t="shared" si="68"/>
        <v>66000</v>
      </c>
      <c r="H74" s="178">
        <f>SUM(J74+L74+N74+P74)</f>
        <v>66000</v>
      </c>
      <c r="I74" s="178"/>
      <c r="J74" s="178"/>
      <c r="K74" s="178">
        <f>36000</f>
        <v>36000</v>
      </c>
      <c r="L74" s="178">
        <f>22000+6600+4080+5860+13460+400+2480</f>
        <v>54880</v>
      </c>
      <c r="M74" s="178">
        <f>30000</f>
        <v>30000</v>
      </c>
      <c r="N74" s="178">
        <f>4120+7000</f>
        <v>11120</v>
      </c>
      <c r="O74" s="178"/>
      <c r="P74" s="178"/>
      <c r="Q74" s="156">
        <f t="shared" si="70"/>
        <v>0</v>
      </c>
      <c r="R74" s="156">
        <f t="shared" si="71"/>
        <v>0</v>
      </c>
      <c r="S74" s="178"/>
      <c r="T74" s="178"/>
      <c r="U74" s="178"/>
      <c r="V74" s="177"/>
      <c r="W74" s="169">
        <f t="shared" si="72"/>
        <v>0</v>
      </c>
      <c r="X74" s="169">
        <f t="shared" si="72"/>
        <v>0</v>
      </c>
      <c r="Y74" s="178"/>
      <c r="Z74" s="178"/>
      <c r="AA74" s="178"/>
      <c r="AB74" s="178"/>
      <c r="AC74" s="169">
        <f t="shared" si="73"/>
        <v>0</v>
      </c>
      <c r="AD74" s="169">
        <f t="shared" si="73"/>
        <v>0</v>
      </c>
      <c r="AE74" s="178"/>
      <c r="AF74" s="178"/>
      <c r="AG74" s="178"/>
      <c r="AH74" s="178"/>
    </row>
    <row r="75" spans="1:172" s="47" customFormat="1">
      <c r="A75" s="33" t="s">
        <v>124</v>
      </c>
      <c r="B75" s="48" t="s">
        <v>125</v>
      </c>
      <c r="C75" s="46" t="s">
        <v>22</v>
      </c>
      <c r="D75" s="174">
        <f>21000+1808800+660000-36.6-97.5-12.5</f>
        <v>2489653.4</v>
      </c>
      <c r="E75" s="157">
        <f>G75+Q75+W75+AC75</f>
        <v>2488150.5999999996</v>
      </c>
      <c r="F75" s="157">
        <f t="shared" si="74"/>
        <v>2487860.9000000004</v>
      </c>
      <c r="G75" s="157">
        <f t="shared" si="68"/>
        <v>21000</v>
      </c>
      <c r="H75" s="169">
        <f>SUM(J75+L75+N75+P75)</f>
        <v>20710.3</v>
      </c>
      <c r="I75" s="156"/>
      <c r="J75" s="156"/>
      <c r="K75" s="175">
        <f>11000+10000</f>
        <v>21000</v>
      </c>
      <c r="L75" s="156">
        <f>15100+500+738.3</f>
        <v>16338.3</v>
      </c>
      <c r="M75" s="156"/>
      <c r="N75" s="156">
        <f>4372</f>
        <v>4372</v>
      </c>
      <c r="O75" s="156"/>
      <c r="P75" s="156"/>
      <c r="Q75" s="156">
        <f>SUM(S75+U75)</f>
        <v>1807150.5999999999</v>
      </c>
      <c r="R75" s="156">
        <f t="shared" si="71"/>
        <v>1807150.6000000003</v>
      </c>
      <c r="S75" s="156"/>
      <c r="T75" s="156"/>
      <c r="U75" s="156">
        <f>1807297.2-36.6-97.5-12.5</f>
        <v>1807150.5999999999</v>
      </c>
      <c r="V75" s="156">
        <f>9155+3415+5730+5730+2295+2297+104014.6+2295+2295+2295+1100+416058.4+156021.9+260036.5+260036.5+104010+2300+104014.6+104014.6+104014.6+104014.6+52007.3</f>
        <v>1807150.6000000003</v>
      </c>
      <c r="W75" s="169">
        <f t="shared" si="72"/>
        <v>660000</v>
      </c>
      <c r="X75" s="169">
        <f t="shared" si="72"/>
        <v>660000</v>
      </c>
      <c r="Y75" s="156"/>
      <c r="Z75" s="156"/>
      <c r="AA75" s="156">
        <f>660000</f>
        <v>660000</v>
      </c>
      <c r="AB75" s="156">
        <f>30000+30000+30000+30000+30000+30000+30000+30000+30000+30000+30000+30000+30000+30000+30000+30000+30000+30000+30000+30000+30000+30000</f>
        <v>660000</v>
      </c>
      <c r="AC75" s="169">
        <f t="shared" si="73"/>
        <v>0</v>
      </c>
      <c r="AD75" s="169">
        <f t="shared" si="73"/>
        <v>0</v>
      </c>
      <c r="AE75" s="156"/>
      <c r="AF75" s="156"/>
      <c r="AG75" s="156"/>
      <c r="AH75" s="156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</row>
    <row r="76" spans="1:172" s="7" customFormat="1">
      <c r="A76" s="44" t="s">
        <v>126</v>
      </c>
      <c r="B76" s="34" t="s">
        <v>127</v>
      </c>
      <c r="C76" s="35" t="s">
        <v>22</v>
      </c>
      <c r="D76" s="174">
        <f>243600</f>
        <v>243600</v>
      </c>
      <c r="E76" s="157">
        <f>G76+Q76+W76+AC76</f>
        <v>243600</v>
      </c>
      <c r="F76" s="157">
        <f t="shared" si="74"/>
        <v>243579.4</v>
      </c>
      <c r="G76" s="157">
        <f t="shared" si="68"/>
        <v>243600</v>
      </c>
      <c r="H76" s="169">
        <f>SUM(J76+L76+N76+P76)</f>
        <v>243579.4</v>
      </c>
      <c r="I76" s="175"/>
      <c r="J76" s="175"/>
      <c r="K76" s="175">
        <f>243600</f>
        <v>243600</v>
      </c>
      <c r="L76" s="175">
        <f>3400+40650+49800+7800+33200</f>
        <v>134850</v>
      </c>
      <c r="M76" s="175"/>
      <c r="N76" s="174">
        <f>51500+14000+4448</f>
        <v>69948</v>
      </c>
      <c r="O76" s="174"/>
      <c r="P76" s="175">
        <f>6317.29+5904.67+18240.86+8318.58</f>
        <v>38781.4</v>
      </c>
      <c r="Q76" s="156">
        <f t="shared" ref="Q76:Q77" si="75">SUM(S76+U76)</f>
        <v>0</v>
      </c>
      <c r="R76" s="156">
        <f t="shared" si="71"/>
        <v>0</v>
      </c>
      <c r="S76" s="174"/>
      <c r="T76" s="174"/>
      <c r="U76" s="175"/>
      <c r="V76" s="175"/>
      <c r="W76" s="169">
        <f t="shared" si="72"/>
        <v>0</v>
      </c>
      <c r="X76" s="169">
        <f t="shared" si="72"/>
        <v>0</v>
      </c>
      <c r="Y76" s="175"/>
      <c r="Z76" s="175"/>
      <c r="AA76" s="175"/>
      <c r="AB76" s="175"/>
      <c r="AC76" s="169">
        <f t="shared" si="73"/>
        <v>0</v>
      </c>
      <c r="AD76" s="169">
        <f t="shared" si="73"/>
        <v>0</v>
      </c>
      <c r="AE76" s="175"/>
      <c r="AF76" s="175"/>
      <c r="AG76" s="175"/>
      <c r="AH76" s="175"/>
    </row>
    <row r="77" spans="1:172" s="47" customFormat="1" ht="72" customHeight="1">
      <c r="A77" s="60" t="s">
        <v>128</v>
      </c>
      <c r="B77" s="61" t="s">
        <v>129</v>
      </c>
      <c r="C77" s="62" t="s">
        <v>22</v>
      </c>
      <c r="D77" s="185"/>
      <c r="E77" s="157">
        <f t="shared" ref="E77" si="76">G77+Q77+W77+AC77</f>
        <v>0</v>
      </c>
      <c r="F77" s="157">
        <f t="shared" si="74"/>
        <v>0</v>
      </c>
      <c r="G77" s="157">
        <f t="shared" si="68"/>
        <v>0</v>
      </c>
      <c r="H77" s="169">
        <f>SUM(J77+L77+N77+P77)</f>
        <v>0</v>
      </c>
      <c r="I77" s="186"/>
      <c r="J77" s="186"/>
      <c r="K77" s="186"/>
      <c r="L77" s="186"/>
      <c r="M77" s="186"/>
      <c r="N77" s="186"/>
      <c r="O77" s="186"/>
      <c r="P77" s="186"/>
      <c r="Q77" s="156">
        <f t="shared" si="75"/>
        <v>0</v>
      </c>
      <c r="R77" s="156">
        <f t="shared" si="71"/>
        <v>0</v>
      </c>
      <c r="S77" s="186"/>
      <c r="T77" s="186"/>
      <c r="U77" s="187"/>
      <c r="V77" s="188"/>
      <c r="W77" s="169">
        <f t="shared" si="72"/>
        <v>0</v>
      </c>
      <c r="X77" s="169">
        <f t="shared" si="72"/>
        <v>0</v>
      </c>
      <c r="Y77" s="186"/>
      <c r="Z77" s="186"/>
      <c r="AA77" s="186"/>
      <c r="AB77" s="186"/>
      <c r="AC77" s="169">
        <f t="shared" si="73"/>
        <v>0</v>
      </c>
      <c r="AD77" s="169">
        <f t="shared" si="73"/>
        <v>0</v>
      </c>
      <c r="AE77" s="186"/>
      <c r="AF77" s="186"/>
      <c r="AG77" s="186"/>
      <c r="AH77" s="186"/>
    </row>
    <row r="78" spans="1:172" s="63" customFormat="1">
      <c r="A78" s="319" t="s">
        <v>130</v>
      </c>
      <c r="B78" s="320"/>
      <c r="C78" s="58"/>
      <c r="D78" s="184">
        <f>SUM(D79:D84)</f>
        <v>504500</v>
      </c>
      <c r="E78" s="184">
        <f t="shared" ref="E78:AH78" si="77">SUM(E79:E84)</f>
        <v>504500</v>
      </c>
      <c r="F78" s="184">
        <f t="shared" si="77"/>
        <v>504500</v>
      </c>
      <c r="G78" s="184">
        <f t="shared" si="77"/>
        <v>104500</v>
      </c>
      <c r="H78" s="184">
        <f t="shared" si="77"/>
        <v>104500</v>
      </c>
      <c r="I78" s="184">
        <f t="shared" si="77"/>
        <v>0</v>
      </c>
      <c r="J78" s="184">
        <f t="shared" si="77"/>
        <v>0</v>
      </c>
      <c r="K78" s="184">
        <f t="shared" si="77"/>
        <v>99400</v>
      </c>
      <c r="L78" s="184">
        <f t="shared" si="77"/>
        <v>88500</v>
      </c>
      <c r="M78" s="184">
        <f t="shared" si="77"/>
        <v>5100</v>
      </c>
      <c r="N78" s="184">
        <f t="shared" si="77"/>
        <v>16000</v>
      </c>
      <c r="O78" s="184">
        <f t="shared" si="77"/>
        <v>0</v>
      </c>
      <c r="P78" s="184">
        <f t="shared" si="77"/>
        <v>0</v>
      </c>
      <c r="Q78" s="184">
        <f t="shared" si="77"/>
        <v>0</v>
      </c>
      <c r="R78" s="184">
        <f t="shared" si="77"/>
        <v>0</v>
      </c>
      <c r="S78" s="184">
        <f t="shared" si="77"/>
        <v>0</v>
      </c>
      <c r="T78" s="184">
        <f t="shared" si="77"/>
        <v>0</v>
      </c>
      <c r="U78" s="184">
        <f t="shared" si="77"/>
        <v>0</v>
      </c>
      <c r="V78" s="184">
        <f t="shared" si="77"/>
        <v>0</v>
      </c>
      <c r="W78" s="184">
        <f t="shared" si="77"/>
        <v>400000</v>
      </c>
      <c r="X78" s="184">
        <f t="shared" si="77"/>
        <v>400000</v>
      </c>
      <c r="Y78" s="184">
        <f t="shared" si="77"/>
        <v>0</v>
      </c>
      <c r="Z78" s="184">
        <f t="shared" si="77"/>
        <v>0</v>
      </c>
      <c r="AA78" s="184">
        <f t="shared" si="77"/>
        <v>400000</v>
      </c>
      <c r="AB78" s="184">
        <f t="shared" si="77"/>
        <v>400000</v>
      </c>
      <c r="AC78" s="184">
        <f t="shared" si="77"/>
        <v>0</v>
      </c>
      <c r="AD78" s="184">
        <f t="shared" si="77"/>
        <v>0</v>
      </c>
      <c r="AE78" s="184">
        <f t="shared" si="77"/>
        <v>0</v>
      </c>
      <c r="AF78" s="184">
        <f t="shared" si="77"/>
        <v>0</v>
      </c>
      <c r="AG78" s="184">
        <f t="shared" si="77"/>
        <v>0</v>
      </c>
      <c r="AH78" s="184">
        <f t="shared" si="77"/>
        <v>0</v>
      </c>
    </row>
    <row r="79" spans="1:172" s="47" customFormat="1" ht="24" customHeight="1">
      <c r="A79" s="64" t="s">
        <v>26</v>
      </c>
      <c r="B79" s="65" t="s">
        <v>131</v>
      </c>
      <c r="C79" s="66" t="s">
        <v>22</v>
      </c>
      <c r="D79" s="169">
        <f>100000</f>
        <v>100000</v>
      </c>
      <c r="E79" s="157">
        <f>G79+Q79+W79+AC79</f>
        <v>100000</v>
      </c>
      <c r="F79" s="157">
        <f t="shared" ref="F79:F84" si="78">H79+R79+X79+AD79</f>
        <v>100000</v>
      </c>
      <c r="G79" s="157">
        <f t="shared" si="68"/>
        <v>0</v>
      </c>
      <c r="H79" s="169">
        <f t="shared" ref="H79:H84" si="79">SUM(J79+L79+N79+P79)</f>
        <v>0</v>
      </c>
      <c r="I79" s="190"/>
      <c r="J79" s="190"/>
      <c r="K79" s="190"/>
      <c r="L79" s="190"/>
      <c r="M79" s="190"/>
      <c r="N79" s="190"/>
      <c r="O79" s="190"/>
      <c r="P79" s="190"/>
      <c r="Q79" s="191">
        <f t="shared" ref="Q79:R81" si="80">SUM(S79+U79)</f>
        <v>0</v>
      </c>
      <c r="R79" s="191">
        <f t="shared" si="80"/>
        <v>0</v>
      </c>
      <c r="S79" s="190"/>
      <c r="T79" s="190"/>
      <c r="U79" s="190"/>
      <c r="V79" s="189"/>
      <c r="W79" s="191">
        <f t="shared" ref="W79:X82" si="81">SUM(Y79+AA79)</f>
        <v>100000</v>
      </c>
      <c r="X79" s="191">
        <f t="shared" si="81"/>
        <v>100000</v>
      </c>
      <c r="Y79" s="190"/>
      <c r="Z79" s="190"/>
      <c r="AA79" s="190">
        <f>100000</f>
        <v>100000</v>
      </c>
      <c r="AB79" s="190">
        <f>50000+50000</f>
        <v>100000</v>
      </c>
      <c r="AC79" s="190">
        <f>SUM(AE79+AG79)</f>
        <v>0</v>
      </c>
      <c r="AD79" s="190">
        <f>SUM(AF79+AH79)</f>
        <v>0</v>
      </c>
      <c r="AE79" s="190"/>
      <c r="AF79" s="190"/>
      <c r="AG79" s="190"/>
      <c r="AH79" s="190"/>
    </row>
    <row r="80" spans="1:172" s="47" customFormat="1" ht="27" customHeight="1">
      <c r="A80" s="44" t="s">
        <v>29</v>
      </c>
      <c r="B80" s="45" t="s">
        <v>132</v>
      </c>
      <c r="C80" s="46" t="s">
        <v>16</v>
      </c>
      <c r="D80" s="158"/>
      <c r="E80" s="157">
        <f t="shared" ref="E80:E84" si="82">G80+Q80+W80+AC80</f>
        <v>0</v>
      </c>
      <c r="F80" s="157">
        <f t="shared" si="78"/>
        <v>0</v>
      </c>
      <c r="G80" s="157">
        <f t="shared" si="68"/>
        <v>0</v>
      </c>
      <c r="H80" s="169">
        <f t="shared" si="79"/>
        <v>0</v>
      </c>
      <c r="I80" s="191"/>
      <c r="J80" s="191"/>
      <c r="K80" s="191"/>
      <c r="L80" s="191"/>
      <c r="M80" s="156"/>
      <c r="N80" s="156"/>
      <c r="O80" s="156"/>
      <c r="P80" s="156"/>
      <c r="Q80" s="191">
        <f t="shared" si="80"/>
        <v>0</v>
      </c>
      <c r="R80" s="191">
        <f t="shared" si="80"/>
        <v>0</v>
      </c>
      <c r="S80" s="156"/>
      <c r="T80" s="156"/>
      <c r="U80" s="156"/>
      <c r="V80" s="158"/>
      <c r="W80" s="191">
        <f t="shared" si="81"/>
        <v>0</v>
      </c>
      <c r="X80" s="191">
        <f t="shared" si="81"/>
        <v>0</v>
      </c>
      <c r="Y80" s="156"/>
      <c r="Z80" s="156"/>
      <c r="AA80" s="156"/>
      <c r="AB80" s="156"/>
      <c r="AC80" s="190">
        <f t="shared" ref="AC80:AD84" si="83">SUM(AE80+AG80)</f>
        <v>0</v>
      </c>
      <c r="AD80" s="190">
        <f t="shared" si="83"/>
        <v>0</v>
      </c>
      <c r="AE80" s="156"/>
      <c r="AF80" s="156"/>
      <c r="AG80" s="156"/>
      <c r="AH80" s="156"/>
    </row>
    <row r="81" spans="1:172" s="47" customFormat="1" ht="23.25" customHeight="1">
      <c r="A81" s="44" t="s">
        <v>31</v>
      </c>
      <c r="B81" s="45" t="s">
        <v>133</v>
      </c>
      <c r="C81" s="46" t="s">
        <v>16</v>
      </c>
      <c r="D81" s="158"/>
      <c r="E81" s="157">
        <f t="shared" si="82"/>
        <v>0</v>
      </c>
      <c r="F81" s="157">
        <f t="shared" si="78"/>
        <v>0</v>
      </c>
      <c r="G81" s="157">
        <f t="shared" si="68"/>
        <v>0</v>
      </c>
      <c r="H81" s="169">
        <f t="shared" si="79"/>
        <v>0</v>
      </c>
      <c r="I81" s="156"/>
      <c r="J81" s="156"/>
      <c r="K81" s="156"/>
      <c r="L81" s="156"/>
      <c r="M81" s="156"/>
      <c r="N81" s="156"/>
      <c r="O81" s="156"/>
      <c r="P81" s="156"/>
      <c r="Q81" s="191">
        <f t="shared" si="80"/>
        <v>0</v>
      </c>
      <c r="R81" s="191">
        <f t="shared" si="80"/>
        <v>0</v>
      </c>
      <c r="S81" s="156"/>
      <c r="T81" s="156"/>
      <c r="U81" s="156"/>
      <c r="V81" s="158"/>
      <c r="W81" s="191">
        <f t="shared" si="81"/>
        <v>0</v>
      </c>
      <c r="X81" s="191">
        <f t="shared" si="81"/>
        <v>0</v>
      </c>
      <c r="Y81" s="156"/>
      <c r="Z81" s="156"/>
      <c r="AA81" s="156"/>
      <c r="AB81" s="156"/>
      <c r="AC81" s="190">
        <f t="shared" si="83"/>
        <v>0</v>
      </c>
      <c r="AD81" s="190">
        <f t="shared" si="83"/>
        <v>0</v>
      </c>
      <c r="AE81" s="156"/>
      <c r="AF81" s="156"/>
      <c r="AG81" s="156"/>
      <c r="AH81" s="156"/>
    </row>
    <row r="82" spans="1:172" s="47" customFormat="1" ht="26.25" customHeight="1">
      <c r="A82" s="44" t="s">
        <v>134</v>
      </c>
      <c r="B82" s="45" t="s">
        <v>135</v>
      </c>
      <c r="C82" s="67" t="s">
        <v>42</v>
      </c>
      <c r="D82" s="174">
        <f>22500</f>
        <v>22500</v>
      </c>
      <c r="E82" s="157">
        <f t="shared" si="82"/>
        <v>22500</v>
      </c>
      <c r="F82" s="157">
        <f t="shared" si="78"/>
        <v>22500</v>
      </c>
      <c r="G82" s="157">
        <f t="shared" si="68"/>
        <v>22500</v>
      </c>
      <c r="H82" s="169">
        <f t="shared" si="79"/>
        <v>22500</v>
      </c>
      <c r="I82" s="191"/>
      <c r="J82" s="191"/>
      <c r="K82" s="271">
        <f>10440+4640+2320</f>
        <v>17400</v>
      </c>
      <c r="L82" s="191">
        <f>300+5000+828+2200+1200+824+520+824+804+5000+5000</f>
        <v>22500</v>
      </c>
      <c r="M82" s="271">
        <f>3060+1360+680</f>
        <v>5100</v>
      </c>
      <c r="N82" s="156"/>
      <c r="O82" s="156"/>
      <c r="P82" s="191"/>
      <c r="Q82" s="191">
        <f>SUM(S82+U82)</f>
        <v>0</v>
      </c>
      <c r="R82" s="191">
        <f>SUM(T82+V82)</f>
        <v>0</v>
      </c>
      <c r="S82" s="156"/>
      <c r="T82" s="156"/>
      <c r="U82" s="191"/>
      <c r="V82" s="191"/>
      <c r="W82" s="191">
        <f t="shared" si="81"/>
        <v>0</v>
      </c>
      <c r="X82" s="191">
        <f t="shared" si="81"/>
        <v>0</v>
      </c>
      <c r="Y82" s="191"/>
      <c r="Z82" s="191"/>
      <c r="AA82" s="191"/>
      <c r="AB82" s="191"/>
      <c r="AC82" s="190">
        <f t="shared" si="83"/>
        <v>0</v>
      </c>
      <c r="AD82" s="190">
        <f t="shared" si="83"/>
        <v>0</v>
      </c>
      <c r="AE82" s="191"/>
      <c r="AF82" s="191"/>
      <c r="AG82" s="191"/>
      <c r="AH82" s="191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</row>
    <row r="83" spans="1:172" s="47" customFormat="1" ht="27.75" customHeight="1">
      <c r="A83" s="44" t="s">
        <v>136</v>
      </c>
      <c r="B83" s="45" t="s">
        <v>137</v>
      </c>
      <c r="C83" s="67" t="s">
        <v>47</v>
      </c>
      <c r="D83" s="174">
        <f>300000</f>
        <v>300000</v>
      </c>
      <c r="E83" s="157">
        <f t="shared" si="82"/>
        <v>300000</v>
      </c>
      <c r="F83" s="157">
        <f t="shared" si="78"/>
        <v>300000</v>
      </c>
      <c r="G83" s="157">
        <f t="shared" si="68"/>
        <v>0</v>
      </c>
      <c r="H83" s="169">
        <f t="shared" si="79"/>
        <v>0</v>
      </c>
      <c r="I83" s="191"/>
      <c r="J83" s="191"/>
      <c r="K83" s="191"/>
      <c r="L83" s="191"/>
      <c r="M83" s="191"/>
      <c r="N83" s="156"/>
      <c r="O83" s="156"/>
      <c r="P83" s="191"/>
      <c r="Q83" s="191">
        <f t="shared" ref="Q83:R84" si="84">SUM(S83+U83)</f>
        <v>0</v>
      </c>
      <c r="R83" s="191">
        <f t="shared" si="84"/>
        <v>0</v>
      </c>
      <c r="S83" s="156"/>
      <c r="T83" s="156"/>
      <c r="U83" s="191"/>
      <c r="V83" s="191"/>
      <c r="W83" s="191">
        <f>SUM(Y83+AA83)</f>
        <v>300000</v>
      </c>
      <c r="X83" s="191">
        <f>SUM(Z83+AB83)</f>
        <v>300000</v>
      </c>
      <c r="Y83" s="191"/>
      <c r="Z83" s="191"/>
      <c r="AA83" s="191">
        <f>300000</f>
        <v>300000</v>
      </c>
      <c r="AB83" s="191">
        <f>100000+50000+50000+100000</f>
        <v>300000</v>
      </c>
      <c r="AC83" s="190">
        <f t="shared" si="83"/>
        <v>0</v>
      </c>
      <c r="AD83" s="190">
        <f t="shared" si="83"/>
        <v>0</v>
      </c>
      <c r="AE83" s="191"/>
      <c r="AF83" s="191"/>
      <c r="AG83" s="191"/>
      <c r="AH83" s="191"/>
    </row>
    <row r="84" spans="1:172" s="47" customFormat="1" ht="27.75" customHeight="1">
      <c r="A84" s="60" t="s">
        <v>138</v>
      </c>
      <c r="B84" s="61" t="s">
        <v>139</v>
      </c>
      <c r="C84" s="68" t="s">
        <v>47</v>
      </c>
      <c r="D84" s="170">
        <f>82000</f>
        <v>82000</v>
      </c>
      <c r="E84" s="157">
        <f t="shared" si="82"/>
        <v>82000</v>
      </c>
      <c r="F84" s="157">
        <f t="shared" si="78"/>
        <v>82000</v>
      </c>
      <c r="G84" s="157">
        <f t="shared" si="68"/>
        <v>82000</v>
      </c>
      <c r="H84" s="169">
        <f t="shared" si="79"/>
        <v>82000</v>
      </c>
      <c r="I84" s="186"/>
      <c r="J84" s="186"/>
      <c r="K84" s="206">
        <f>82000</f>
        <v>82000</v>
      </c>
      <c r="L84" s="186">
        <f>60300+1500+4200</f>
        <v>66000</v>
      </c>
      <c r="M84" s="186"/>
      <c r="N84" s="187">
        <f>3800+3250+2950+6000</f>
        <v>16000</v>
      </c>
      <c r="O84" s="187"/>
      <c r="P84" s="186"/>
      <c r="Q84" s="191">
        <f t="shared" si="84"/>
        <v>0</v>
      </c>
      <c r="R84" s="191">
        <f t="shared" si="84"/>
        <v>0</v>
      </c>
      <c r="S84" s="187"/>
      <c r="T84" s="187"/>
      <c r="U84" s="186"/>
      <c r="V84" s="186"/>
      <c r="W84" s="191">
        <f t="shared" ref="W84:X84" si="85">SUM(Y84+AA84)</f>
        <v>0</v>
      </c>
      <c r="X84" s="191">
        <f t="shared" si="85"/>
        <v>0</v>
      </c>
      <c r="Y84" s="186"/>
      <c r="Z84" s="186"/>
      <c r="AA84" s="186"/>
      <c r="AB84" s="186"/>
      <c r="AC84" s="190">
        <f t="shared" si="83"/>
        <v>0</v>
      </c>
      <c r="AD84" s="190">
        <f t="shared" si="83"/>
        <v>0</v>
      </c>
      <c r="AE84" s="186"/>
      <c r="AF84" s="186"/>
      <c r="AG84" s="186"/>
      <c r="AH84" s="186"/>
    </row>
    <row r="85" spans="1:172" s="70" customFormat="1" ht="24" customHeight="1">
      <c r="A85" s="328" t="s">
        <v>140</v>
      </c>
      <c r="B85" s="329"/>
      <c r="C85" s="69"/>
      <c r="D85" s="192">
        <f>SUM(D86:D93)</f>
        <v>4152200</v>
      </c>
      <c r="E85" s="192">
        <f t="shared" ref="E85:AH85" si="86">SUM(E86:E93)</f>
        <v>4152200</v>
      </c>
      <c r="F85" s="192">
        <f t="shared" si="86"/>
        <v>4142075.71</v>
      </c>
      <c r="G85" s="192">
        <f t="shared" si="86"/>
        <v>316800</v>
      </c>
      <c r="H85" s="192">
        <f t="shared" si="86"/>
        <v>315675.71000000002</v>
      </c>
      <c r="I85" s="192">
        <f t="shared" si="86"/>
        <v>0</v>
      </c>
      <c r="J85" s="192">
        <f t="shared" si="86"/>
        <v>0</v>
      </c>
      <c r="K85" s="192">
        <f t="shared" si="86"/>
        <v>200200</v>
      </c>
      <c r="L85" s="192">
        <f t="shared" si="86"/>
        <v>300509.88</v>
      </c>
      <c r="M85" s="192">
        <f t="shared" si="86"/>
        <v>116600</v>
      </c>
      <c r="N85" s="192">
        <f t="shared" si="86"/>
        <v>7602</v>
      </c>
      <c r="O85" s="192">
        <f t="shared" si="86"/>
        <v>0</v>
      </c>
      <c r="P85" s="192">
        <f t="shared" si="86"/>
        <v>7563.83</v>
      </c>
      <c r="Q85" s="192">
        <f t="shared" si="86"/>
        <v>0</v>
      </c>
      <c r="R85" s="192">
        <f t="shared" si="86"/>
        <v>0</v>
      </c>
      <c r="S85" s="192">
        <f t="shared" si="86"/>
        <v>0</v>
      </c>
      <c r="T85" s="192">
        <f t="shared" si="86"/>
        <v>0</v>
      </c>
      <c r="U85" s="192">
        <f t="shared" si="86"/>
        <v>0</v>
      </c>
      <c r="V85" s="192">
        <f t="shared" si="86"/>
        <v>0</v>
      </c>
      <c r="W85" s="192">
        <f t="shared" si="86"/>
        <v>3835400</v>
      </c>
      <c r="X85" s="192">
        <f t="shared" si="86"/>
        <v>3826400</v>
      </c>
      <c r="Y85" s="192">
        <f t="shared" si="86"/>
        <v>0</v>
      </c>
      <c r="Z85" s="192">
        <f t="shared" si="86"/>
        <v>0</v>
      </c>
      <c r="AA85" s="192">
        <f t="shared" si="86"/>
        <v>3835400</v>
      </c>
      <c r="AB85" s="192">
        <f t="shared" si="86"/>
        <v>3826400</v>
      </c>
      <c r="AC85" s="192">
        <f t="shared" si="86"/>
        <v>0</v>
      </c>
      <c r="AD85" s="192">
        <f t="shared" si="86"/>
        <v>0</v>
      </c>
      <c r="AE85" s="192">
        <f t="shared" si="86"/>
        <v>0</v>
      </c>
      <c r="AF85" s="192">
        <f t="shared" si="86"/>
        <v>0</v>
      </c>
      <c r="AG85" s="192">
        <f t="shared" si="86"/>
        <v>0</v>
      </c>
      <c r="AH85" s="192">
        <f t="shared" si="86"/>
        <v>0</v>
      </c>
    </row>
    <row r="86" spans="1:172" s="47" customFormat="1" ht="25.5" customHeight="1">
      <c r="A86" s="64" t="s">
        <v>35</v>
      </c>
      <c r="B86" s="65" t="s">
        <v>141</v>
      </c>
      <c r="C86" s="66" t="s">
        <v>37</v>
      </c>
      <c r="D86" s="189"/>
      <c r="E86" s="157">
        <f>G86+Q86+W86+AC86</f>
        <v>0</v>
      </c>
      <c r="F86" s="157">
        <f>H86+R86+X86+AD86</f>
        <v>0</v>
      </c>
      <c r="G86" s="157">
        <f t="shared" si="68"/>
        <v>0</v>
      </c>
      <c r="H86" s="157">
        <f>J86+L86+N86+P86</f>
        <v>0</v>
      </c>
      <c r="I86" s="190"/>
      <c r="J86" s="190"/>
      <c r="K86" s="190"/>
      <c r="L86" s="190"/>
      <c r="M86" s="190"/>
      <c r="N86" s="190"/>
      <c r="O86" s="190"/>
      <c r="P86" s="190"/>
      <c r="Q86" s="190">
        <f>SUM(S86+U86)</f>
        <v>0</v>
      </c>
      <c r="R86" s="190">
        <f>SUM(T86+V86)</f>
        <v>0</v>
      </c>
      <c r="S86" s="190"/>
      <c r="T86" s="190"/>
      <c r="U86" s="190"/>
      <c r="V86" s="190"/>
      <c r="W86" s="190">
        <f>SUM(Y86+AA86)</f>
        <v>0</v>
      </c>
      <c r="X86" s="190">
        <f>SUM(Z86+AB86)</f>
        <v>0</v>
      </c>
      <c r="Y86" s="190"/>
      <c r="Z86" s="190"/>
      <c r="AA86" s="190"/>
      <c r="AB86" s="190"/>
      <c r="AC86" s="190">
        <f>SUM(AE86+AG86)</f>
        <v>0</v>
      </c>
      <c r="AD86" s="190">
        <f>SUM(AF86+AH86)</f>
        <v>0</v>
      </c>
      <c r="AE86" s="190"/>
      <c r="AF86" s="190"/>
      <c r="AG86" s="190"/>
      <c r="AH86" s="190"/>
    </row>
    <row r="87" spans="1:172" s="47" customFormat="1" ht="51" customHeight="1">
      <c r="A87" s="44" t="s">
        <v>38</v>
      </c>
      <c r="B87" s="45" t="s">
        <v>142</v>
      </c>
      <c r="C87" s="46" t="s">
        <v>37</v>
      </c>
      <c r="D87" s="270">
        <f>21100</f>
        <v>21100</v>
      </c>
      <c r="E87" s="157">
        <f t="shared" ref="E87:F93" si="87">G87+Q87+W87+AC87</f>
        <v>21100</v>
      </c>
      <c r="F87" s="157">
        <f t="shared" si="87"/>
        <v>20033.830000000002</v>
      </c>
      <c r="G87" s="157">
        <f t="shared" si="68"/>
        <v>21100</v>
      </c>
      <c r="H87" s="157">
        <f t="shared" si="68"/>
        <v>20033.830000000002</v>
      </c>
      <c r="I87" s="193"/>
      <c r="J87" s="193"/>
      <c r="K87" s="272">
        <f>3070+1480+1450</f>
        <v>6000</v>
      </c>
      <c r="L87" s="193">
        <f>3700+500+500+1200+270+700+500+520+500+1480+2600</f>
        <v>12470</v>
      </c>
      <c r="M87" s="272">
        <f>7730+3720+3650</f>
        <v>15100</v>
      </c>
      <c r="N87" s="193"/>
      <c r="O87" s="193"/>
      <c r="P87" s="193">
        <f>631.3+631.3+513.6+631.3+631.3+631.3+2664.3+732.95+111.28+224.7+160.5</f>
        <v>7563.83</v>
      </c>
      <c r="Q87" s="190">
        <f t="shared" ref="Q87:Q93" si="88">SUM(S87+U87)</f>
        <v>0</v>
      </c>
      <c r="R87" s="190">
        <f t="shared" ref="R87:R93" si="89">SUM(T87+V87)</f>
        <v>0</v>
      </c>
      <c r="S87" s="193"/>
      <c r="T87" s="193"/>
      <c r="U87" s="193"/>
      <c r="V87" s="193"/>
      <c r="W87" s="190">
        <f t="shared" ref="W87:X93" si="90">SUM(Y87+AA87)</f>
        <v>0</v>
      </c>
      <c r="X87" s="190">
        <f t="shared" si="90"/>
        <v>0</v>
      </c>
      <c r="Y87" s="193"/>
      <c r="Z87" s="193"/>
      <c r="AA87" s="193"/>
      <c r="AB87" s="193"/>
      <c r="AC87" s="190">
        <f t="shared" ref="AC87:AD93" si="91">SUM(AE87+AG87)</f>
        <v>0</v>
      </c>
      <c r="AD87" s="190">
        <f t="shared" si="91"/>
        <v>0</v>
      </c>
      <c r="AE87" s="193"/>
      <c r="AF87" s="193"/>
      <c r="AG87" s="193"/>
      <c r="AH87" s="193"/>
    </row>
    <row r="88" spans="1:172" s="47" customFormat="1" ht="54" customHeight="1">
      <c r="A88" s="44" t="s">
        <v>40</v>
      </c>
      <c r="B88" s="45" t="s">
        <v>143</v>
      </c>
      <c r="C88" s="46" t="s">
        <v>37</v>
      </c>
      <c r="D88" s="174">
        <f>60000</f>
        <v>60000</v>
      </c>
      <c r="E88" s="157">
        <f t="shared" si="87"/>
        <v>60000</v>
      </c>
      <c r="F88" s="157">
        <f t="shared" si="87"/>
        <v>60000</v>
      </c>
      <c r="G88" s="157">
        <f t="shared" si="68"/>
        <v>60000</v>
      </c>
      <c r="H88" s="157">
        <f t="shared" si="68"/>
        <v>60000</v>
      </c>
      <c r="I88" s="156"/>
      <c r="J88" s="156"/>
      <c r="K88" s="175">
        <f>25500+12750+12750</f>
        <v>51000</v>
      </c>
      <c r="L88" s="156">
        <f>9000+6260+500+1480+4500+500+2240+2240+480+2440+7740+4860+3180+4500+4380+700+2000</f>
        <v>57000</v>
      </c>
      <c r="M88" s="175">
        <f>4500+2250+2250</f>
        <v>9000</v>
      </c>
      <c r="N88" s="156">
        <f>3000</f>
        <v>3000</v>
      </c>
      <c r="O88" s="156"/>
      <c r="P88" s="156"/>
      <c r="Q88" s="190">
        <f t="shared" si="88"/>
        <v>0</v>
      </c>
      <c r="R88" s="190">
        <f t="shared" si="89"/>
        <v>0</v>
      </c>
      <c r="S88" s="156"/>
      <c r="T88" s="156"/>
      <c r="U88" s="156"/>
      <c r="V88" s="156"/>
      <c r="W88" s="190">
        <f t="shared" si="90"/>
        <v>0</v>
      </c>
      <c r="X88" s="190">
        <f t="shared" si="90"/>
        <v>0</v>
      </c>
      <c r="Y88" s="156"/>
      <c r="Z88" s="156"/>
      <c r="AA88" s="156"/>
      <c r="AB88" s="156"/>
      <c r="AC88" s="190">
        <f t="shared" si="91"/>
        <v>0</v>
      </c>
      <c r="AD88" s="190">
        <f t="shared" si="91"/>
        <v>0</v>
      </c>
      <c r="AE88" s="156"/>
      <c r="AF88" s="156"/>
      <c r="AG88" s="156"/>
      <c r="AH88" s="156"/>
    </row>
    <row r="89" spans="1:172" s="47" customFormat="1" ht="51" customHeight="1">
      <c r="A89" s="44" t="s">
        <v>144</v>
      </c>
      <c r="B89" s="45" t="s">
        <v>145</v>
      </c>
      <c r="C89" s="46" t="s">
        <v>37</v>
      </c>
      <c r="D89" s="174">
        <f>100200</f>
        <v>100200</v>
      </c>
      <c r="E89" s="157">
        <f t="shared" si="87"/>
        <v>100200</v>
      </c>
      <c r="F89" s="157">
        <f t="shared" si="87"/>
        <v>100141.88</v>
      </c>
      <c r="G89" s="157">
        <f t="shared" si="68"/>
        <v>100200</v>
      </c>
      <c r="H89" s="157">
        <f t="shared" si="68"/>
        <v>100141.88</v>
      </c>
      <c r="I89" s="156"/>
      <c r="J89" s="156"/>
      <c r="K89" s="175">
        <f>31935+16606+15459</f>
        <v>64000</v>
      </c>
      <c r="L89" s="156">
        <f>5480+13583.38+270+270+255+12170+5000+3675+1496+1000+2680+5660+1104+1000+1500+1500+1500+1940+1960+984+1000+1000+2380+1000+1104+5000+2621.5+510+1104+7395+1038+8000+360</f>
        <v>95539.88</v>
      </c>
      <c r="M89" s="175">
        <f>18065+9394+8741</f>
        <v>36200</v>
      </c>
      <c r="N89" s="156">
        <f>4602</f>
        <v>4602</v>
      </c>
      <c r="O89" s="156"/>
      <c r="P89" s="156"/>
      <c r="Q89" s="190">
        <f t="shared" si="88"/>
        <v>0</v>
      </c>
      <c r="R89" s="190">
        <f t="shared" si="89"/>
        <v>0</v>
      </c>
      <c r="S89" s="156"/>
      <c r="T89" s="156"/>
      <c r="U89" s="156"/>
      <c r="V89" s="156"/>
      <c r="W89" s="190">
        <f t="shared" si="90"/>
        <v>0</v>
      </c>
      <c r="X89" s="190">
        <f t="shared" si="90"/>
        <v>0</v>
      </c>
      <c r="Y89" s="156"/>
      <c r="Z89" s="156"/>
      <c r="AA89" s="156"/>
      <c r="AB89" s="156"/>
      <c r="AC89" s="190">
        <f t="shared" si="91"/>
        <v>0</v>
      </c>
      <c r="AD89" s="190">
        <f t="shared" si="91"/>
        <v>0</v>
      </c>
      <c r="AE89" s="156"/>
      <c r="AF89" s="156"/>
      <c r="AG89" s="156"/>
      <c r="AH89" s="156"/>
    </row>
    <row r="90" spans="1:172" s="47" customFormat="1">
      <c r="A90" s="44" t="s">
        <v>146</v>
      </c>
      <c r="B90" s="45" t="s">
        <v>147</v>
      </c>
      <c r="C90" s="46" t="s">
        <v>37</v>
      </c>
      <c r="D90" s="174">
        <f>744800+512400+459700</f>
        <v>1716900</v>
      </c>
      <c r="E90" s="157">
        <f t="shared" si="87"/>
        <v>1716900</v>
      </c>
      <c r="F90" s="157">
        <f t="shared" si="87"/>
        <v>1707900</v>
      </c>
      <c r="G90" s="157">
        <f t="shared" si="68"/>
        <v>27500</v>
      </c>
      <c r="H90" s="157">
        <f t="shared" si="68"/>
        <v>27500</v>
      </c>
      <c r="I90" s="156"/>
      <c r="J90" s="156"/>
      <c r="K90" s="175">
        <f>5020+5016-836</f>
        <v>9200</v>
      </c>
      <c r="L90" s="156">
        <f>2000+1700+5600+7200+4800+2440+1460+2300</f>
        <v>27500</v>
      </c>
      <c r="M90" s="175">
        <f>9980+9984-1664</f>
        <v>18300</v>
      </c>
      <c r="N90" s="156"/>
      <c r="O90" s="156"/>
      <c r="P90" s="156"/>
      <c r="Q90" s="190">
        <f t="shared" si="88"/>
        <v>0</v>
      </c>
      <c r="R90" s="190">
        <f t="shared" si="89"/>
        <v>0</v>
      </c>
      <c r="S90" s="156"/>
      <c r="T90" s="156"/>
      <c r="U90" s="156"/>
      <c r="V90" s="156"/>
      <c r="W90" s="190">
        <f t="shared" si="90"/>
        <v>1689400</v>
      </c>
      <c r="X90" s="190">
        <f t="shared" si="90"/>
        <v>1680400</v>
      </c>
      <c r="Y90" s="156"/>
      <c r="Z90" s="156"/>
      <c r="AA90" s="156">
        <f>1689400</f>
        <v>1689400</v>
      </c>
      <c r="AB90" s="156">
        <f>180000+364800+122400+240000+126000+147200+150000+200000+150000</f>
        <v>1680400</v>
      </c>
      <c r="AC90" s="190">
        <f t="shared" si="91"/>
        <v>0</v>
      </c>
      <c r="AD90" s="190">
        <f t="shared" si="91"/>
        <v>0</v>
      </c>
      <c r="AE90" s="156"/>
      <c r="AF90" s="156"/>
      <c r="AG90" s="156"/>
      <c r="AH90" s="156"/>
    </row>
    <row r="91" spans="1:172" s="47" customFormat="1">
      <c r="A91" s="44" t="s">
        <v>148</v>
      </c>
      <c r="B91" s="48" t="s">
        <v>149</v>
      </c>
      <c r="C91" s="46" t="s">
        <v>37</v>
      </c>
      <c r="D91" s="174">
        <f>11600</f>
        <v>11600</v>
      </c>
      <c r="E91" s="157">
        <f t="shared" si="87"/>
        <v>11600</v>
      </c>
      <c r="F91" s="157">
        <f t="shared" si="87"/>
        <v>11600</v>
      </c>
      <c r="G91" s="157">
        <f t="shared" si="68"/>
        <v>11600</v>
      </c>
      <c r="H91" s="157">
        <f t="shared" si="68"/>
        <v>11600</v>
      </c>
      <c r="I91" s="156"/>
      <c r="J91" s="156"/>
      <c r="K91" s="156"/>
      <c r="L91" s="156">
        <f>800+2000+2200+2050+2600+400+400+600+550</f>
        <v>11600</v>
      </c>
      <c r="M91" s="175">
        <f>6000+3000+2600</f>
        <v>11600</v>
      </c>
      <c r="N91" s="156"/>
      <c r="O91" s="156"/>
      <c r="P91" s="156"/>
      <c r="Q91" s="190">
        <f t="shared" si="88"/>
        <v>0</v>
      </c>
      <c r="R91" s="190">
        <f t="shared" si="89"/>
        <v>0</v>
      </c>
      <c r="S91" s="156"/>
      <c r="T91" s="156"/>
      <c r="U91" s="156"/>
      <c r="V91" s="156"/>
      <c r="W91" s="190">
        <f t="shared" si="90"/>
        <v>0</v>
      </c>
      <c r="X91" s="190">
        <f t="shared" si="90"/>
        <v>0</v>
      </c>
      <c r="Y91" s="156"/>
      <c r="Z91" s="156"/>
      <c r="AA91" s="156"/>
      <c r="AB91" s="156"/>
      <c r="AC91" s="190">
        <f t="shared" si="91"/>
        <v>0</v>
      </c>
      <c r="AD91" s="190">
        <f t="shared" si="91"/>
        <v>0</v>
      </c>
      <c r="AE91" s="156"/>
      <c r="AF91" s="156"/>
      <c r="AG91" s="156"/>
      <c r="AH91" s="156"/>
    </row>
    <row r="92" spans="1:172" s="47" customFormat="1">
      <c r="A92" s="44" t="s">
        <v>150</v>
      </c>
      <c r="B92" s="45" t="s">
        <v>151</v>
      </c>
      <c r="C92" s="46" t="s">
        <v>37</v>
      </c>
      <c r="D92" s="174">
        <f>1142000+572000+528400</f>
        <v>2242400</v>
      </c>
      <c r="E92" s="157">
        <f t="shared" si="87"/>
        <v>2242400</v>
      </c>
      <c r="F92" s="157">
        <f t="shared" si="87"/>
        <v>2242400</v>
      </c>
      <c r="G92" s="157">
        <f t="shared" si="68"/>
        <v>96400</v>
      </c>
      <c r="H92" s="157">
        <f t="shared" si="68"/>
        <v>96400</v>
      </c>
      <c r="I92" s="191"/>
      <c r="J92" s="191"/>
      <c r="K92" s="271">
        <f>36305+18150+15545</f>
        <v>70000</v>
      </c>
      <c r="L92" s="191">
        <f>800+24200+9000+2680+4500+13200+2240+5340+1460+3440+2200+10600+3800+2940+6000+4000</f>
        <v>96400</v>
      </c>
      <c r="M92" s="175">
        <f>13695+6850+5855</f>
        <v>26400</v>
      </c>
      <c r="N92" s="156"/>
      <c r="O92" s="156"/>
      <c r="P92" s="156"/>
      <c r="Q92" s="190">
        <f t="shared" si="88"/>
        <v>0</v>
      </c>
      <c r="R92" s="190">
        <f t="shared" si="89"/>
        <v>0</v>
      </c>
      <c r="S92" s="156"/>
      <c r="T92" s="156"/>
      <c r="U92" s="156"/>
      <c r="V92" s="156"/>
      <c r="W92" s="190">
        <f t="shared" si="90"/>
        <v>2146000</v>
      </c>
      <c r="X92" s="190">
        <f t="shared" si="90"/>
        <v>2146000</v>
      </c>
      <c r="Y92" s="156"/>
      <c r="Z92" s="156"/>
      <c r="AA92" s="156">
        <f>2146000</f>
        <v>2146000</v>
      </c>
      <c r="AB92" s="156">
        <f>32000+350000+32000+225000+32000+175000+450000+150000+150000+150000+400000</f>
        <v>2146000</v>
      </c>
      <c r="AC92" s="190">
        <f t="shared" si="91"/>
        <v>0</v>
      </c>
      <c r="AD92" s="190">
        <f t="shared" si="91"/>
        <v>0</v>
      </c>
      <c r="AE92" s="156"/>
      <c r="AF92" s="156"/>
      <c r="AG92" s="156"/>
      <c r="AH92" s="156"/>
    </row>
    <row r="93" spans="1:172" s="47" customFormat="1">
      <c r="A93" s="60" t="s">
        <v>152</v>
      </c>
      <c r="B93" s="61" t="s">
        <v>153</v>
      </c>
      <c r="C93" s="71" t="s">
        <v>37</v>
      </c>
      <c r="D93" s="185"/>
      <c r="E93" s="157">
        <f t="shared" si="87"/>
        <v>0</v>
      </c>
      <c r="F93" s="157">
        <f t="shared" si="87"/>
        <v>0</v>
      </c>
      <c r="G93" s="157">
        <f t="shared" si="68"/>
        <v>0</v>
      </c>
      <c r="H93" s="157">
        <f t="shared" si="68"/>
        <v>0</v>
      </c>
      <c r="I93" s="186"/>
      <c r="J93" s="186"/>
      <c r="K93" s="186"/>
      <c r="L93" s="186"/>
      <c r="M93" s="186"/>
      <c r="N93" s="186"/>
      <c r="O93" s="186"/>
      <c r="P93" s="186"/>
      <c r="Q93" s="190">
        <f t="shared" si="88"/>
        <v>0</v>
      </c>
      <c r="R93" s="190">
        <f t="shared" si="89"/>
        <v>0</v>
      </c>
      <c r="S93" s="186"/>
      <c r="T93" s="186"/>
      <c r="U93" s="186"/>
      <c r="V93" s="186"/>
      <c r="W93" s="190">
        <f t="shared" si="90"/>
        <v>0</v>
      </c>
      <c r="X93" s="190">
        <f t="shared" si="90"/>
        <v>0</v>
      </c>
      <c r="Y93" s="186"/>
      <c r="Z93" s="186"/>
      <c r="AA93" s="186"/>
      <c r="AB93" s="186"/>
      <c r="AC93" s="190">
        <f t="shared" si="91"/>
        <v>0</v>
      </c>
      <c r="AD93" s="190">
        <f t="shared" si="91"/>
        <v>0</v>
      </c>
      <c r="AE93" s="186"/>
      <c r="AF93" s="186"/>
      <c r="AG93" s="186"/>
      <c r="AH93" s="186"/>
    </row>
    <row r="94" spans="1:172" s="63" customFormat="1">
      <c r="A94" s="319" t="s">
        <v>154</v>
      </c>
      <c r="B94" s="320"/>
      <c r="C94" s="58"/>
      <c r="D94" s="184">
        <f>SUM(D95:D99)</f>
        <v>35000</v>
      </c>
      <c r="E94" s="184">
        <f t="shared" ref="E94:AH94" si="92">SUM(E95:E99)</f>
        <v>35000</v>
      </c>
      <c r="F94" s="184">
        <f t="shared" si="92"/>
        <v>35000</v>
      </c>
      <c r="G94" s="184">
        <f t="shared" si="92"/>
        <v>35000</v>
      </c>
      <c r="H94" s="184">
        <f t="shared" si="92"/>
        <v>35000</v>
      </c>
      <c r="I94" s="184">
        <f t="shared" si="92"/>
        <v>0</v>
      </c>
      <c r="J94" s="184">
        <f t="shared" si="92"/>
        <v>0</v>
      </c>
      <c r="K94" s="184">
        <f t="shared" si="92"/>
        <v>25000</v>
      </c>
      <c r="L94" s="184">
        <f t="shared" si="92"/>
        <v>20756</v>
      </c>
      <c r="M94" s="184">
        <f t="shared" si="92"/>
        <v>10000</v>
      </c>
      <c r="N94" s="184">
        <f t="shared" si="92"/>
        <v>14244</v>
      </c>
      <c r="O94" s="184">
        <f t="shared" si="92"/>
        <v>0</v>
      </c>
      <c r="P94" s="184">
        <f t="shared" si="92"/>
        <v>0</v>
      </c>
      <c r="Q94" s="184">
        <f t="shared" si="92"/>
        <v>0</v>
      </c>
      <c r="R94" s="184">
        <f t="shared" si="92"/>
        <v>0</v>
      </c>
      <c r="S94" s="184">
        <f t="shared" si="92"/>
        <v>0</v>
      </c>
      <c r="T94" s="184">
        <f t="shared" si="92"/>
        <v>0</v>
      </c>
      <c r="U94" s="184">
        <f t="shared" si="92"/>
        <v>0</v>
      </c>
      <c r="V94" s="184">
        <f t="shared" si="92"/>
        <v>0</v>
      </c>
      <c r="W94" s="184">
        <f t="shared" si="92"/>
        <v>0</v>
      </c>
      <c r="X94" s="184">
        <f t="shared" si="92"/>
        <v>0</v>
      </c>
      <c r="Y94" s="184">
        <f t="shared" si="92"/>
        <v>0</v>
      </c>
      <c r="Z94" s="184">
        <f t="shared" si="92"/>
        <v>0</v>
      </c>
      <c r="AA94" s="184">
        <f t="shared" si="92"/>
        <v>0</v>
      </c>
      <c r="AB94" s="184">
        <f t="shared" si="92"/>
        <v>0</v>
      </c>
      <c r="AC94" s="184">
        <f t="shared" si="92"/>
        <v>0</v>
      </c>
      <c r="AD94" s="184">
        <f t="shared" si="92"/>
        <v>0</v>
      </c>
      <c r="AE94" s="184">
        <f t="shared" si="92"/>
        <v>0</v>
      </c>
      <c r="AF94" s="184">
        <f t="shared" si="92"/>
        <v>0</v>
      </c>
      <c r="AG94" s="184">
        <f t="shared" si="92"/>
        <v>0</v>
      </c>
      <c r="AH94" s="184">
        <f t="shared" si="92"/>
        <v>0</v>
      </c>
    </row>
    <row r="95" spans="1:172" s="47" customFormat="1">
      <c r="A95" s="64" t="s">
        <v>155</v>
      </c>
      <c r="B95" s="72" t="s">
        <v>156</v>
      </c>
      <c r="C95" s="73" t="s">
        <v>50</v>
      </c>
      <c r="D95" s="194"/>
      <c r="E95" s="157">
        <f t="shared" ref="E95:F99" si="93">G95+Q95+W95+AC95</f>
        <v>0</v>
      </c>
      <c r="F95" s="157">
        <f t="shared" si="93"/>
        <v>0</v>
      </c>
      <c r="G95" s="157">
        <f t="shared" si="68"/>
        <v>0</v>
      </c>
      <c r="H95" s="157">
        <f t="shared" si="68"/>
        <v>0</v>
      </c>
      <c r="I95" s="195"/>
      <c r="J95" s="195"/>
      <c r="K95" s="195"/>
      <c r="L95" s="195"/>
      <c r="M95" s="190"/>
      <c r="N95" s="190"/>
      <c r="O95" s="190"/>
      <c r="P95" s="190"/>
      <c r="Q95" s="190">
        <f>SUM(S95+U95)</f>
        <v>0</v>
      </c>
      <c r="R95" s="190">
        <f>SUM(T95+V95)</f>
        <v>0</v>
      </c>
      <c r="S95" s="190"/>
      <c r="T95" s="190"/>
      <c r="U95" s="190"/>
      <c r="V95" s="190"/>
      <c r="W95" s="190">
        <f>SUM(Y95+AA95)</f>
        <v>0</v>
      </c>
      <c r="X95" s="190">
        <f>SUM(Z95+AB95)</f>
        <v>0</v>
      </c>
      <c r="Y95" s="190"/>
      <c r="Z95" s="190"/>
      <c r="AA95" s="190"/>
      <c r="AB95" s="190"/>
      <c r="AC95" s="190">
        <f>SUM(AE95+AG95)</f>
        <v>0</v>
      </c>
      <c r="AD95" s="190">
        <f>SUM(AF95+AH95)</f>
        <v>0</v>
      </c>
      <c r="AE95" s="190"/>
      <c r="AF95" s="190"/>
      <c r="AG95" s="190"/>
      <c r="AH95" s="190"/>
    </row>
    <row r="96" spans="1:172" s="47" customFormat="1" ht="27.75" customHeight="1">
      <c r="A96" s="60" t="s">
        <v>53</v>
      </c>
      <c r="B96" s="61" t="s">
        <v>157</v>
      </c>
      <c r="C96" s="74" t="s">
        <v>50</v>
      </c>
      <c r="D96" s="273">
        <f>35000</f>
        <v>35000</v>
      </c>
      <c r="E96" s="157">
        <f t="shared" si="93"/>
        <v>35000</v>
      </c>
      <c r="F96" s="157">
        <f t="shared" si="93"/>
        <v>35000</v>
      </c>
      <c r="G96" s="157">
        <f t="shared" si="68"/>
        <v>35000</v>
      </c>
      <c r="H96" s="157">
        <f t="shared" si="68"/>
        <v>35000</v>
      </c>
      <c r="I96" s="186"/>
      <c r="J96" s="186"/>
      <c r="K96" s="274">
        <f>15000+5000+5000</f>
        <v>25000</v>
      </c>
      <c r="L96" s="186">
        <f>1420+1420+720+500+500+960+500+576+1180+1000+6900+5080</f>
        <v>20756</v>
      </c>
      <c r="M96" s="157">
        <f>6000+2000+2000</f>
        <v>10000</v>
      </c>
      <c r="N96" s="156">
        <f>5830+8414</f>
        <v>14244</v>
      </c>
      <c r="O96" s="156"/>
      <c r="P96" s="187"/>
      <c r="Q96" s="190">
        <f t="shared" ref="Q96:Q99" si="94">SUM(S96+U96)</f>
        <v>0</v>
      </c>
      <c r="R96" s="190">
        <f t="shared" ref="R96:R99" si="95">SUM(T96+V96)</f>
        <v>0</v>
      </c>
      <c r="S96" s="156"/>
      <c r="T96" s="156"/>
      <c r="U96" s="187"/>
      <c r="V96" s="187"/>
      <c r="W96" s="190">
        <f t="shared" ref="W96:X99" si="96">SUM(Y96+AA96)</f>
        <v>0</v>
      </c>
      <c r="X96" s="190">
        <f t="shared" si="96"/>
        <v>0</v>
      </c>
      <c r="Y96" s="187"/>
      <c r="Z96" s="187"/>
      <c r="AA96" s="187"/>
      <c r="AB96" s="187"/>
      <c r="AC96" s="190">
        <f t="shared" ref="AC96:AD99" si="97">SUM(AE96+AG96)</f>
        <v>0</v>
      </c>
      <c r="AD96" s="190">
        <f t="shared" si="97"/>
        <v>0</v>
      </c>
      <c r="AE96" s="187"/>
      <c r="AF96" s="187"/>
      <c r="AG96" s="187"/>
      <c r="AH96" s="187"/>
    </row>
    <row r="97" spans="1:172" s="47" customFormat="1" ht="30" customHeight="1">
      <c r="A97" s="44" t="s">
        <v>60</v>
      </c>
      <c r="B97" s="45" t="s">
        <v>158</v>
      </c>
      <c r="C97" s="46" t="s">
        <v>50</v>
      </c>
      <c r="D97" s="158"/>
      <c r="E97" s="157">
        <f t="shared" si="93"/>
        <v>0</v>
      </c>
      <c r="F97" s="157">
        <f t="shared" si="93"/>
        <v>0</v>
      </c>
      <c r="G97" s="157">
        <f t="shared" si="68"/>
        <v>0</v>
      </c>
      <c r="H97" s="157">
        <f t="shared" si="68"/>
        <v>0</v>
      </c>
      <c r="I97" s="156"/>
      <c r="J97" s="156"/>
      <c r="K97" s="156"/>
      <c r="L97" s="156"/>
      <c r="M97" s="156"/>
      <c r="N97" s="156"/>
      <c r="O97" s="156"/>
      <c r="P97" s="156"/>
      <c r="Q97" s="190">
        <f t="shared" si="94"/>
        <v>0</v>
      </c>
      <c r="R97" s="190">
        <f t="shared" si="95"/>
        <v>0</v>
      </c>
      <c r="S97" s="156"/>
      <c r="T97" s="156"/>
      <c r="U97" s="156"/>
      <c r="V97" s="156"/>
      <c r="W97" s="190">
        <f t="shared" si="96"/>
        <v>0</v>
      </c>
      <c r="X97" s="190">
        <f t="shared" si="96"/>
        <v>0</v>
      </c>
      <c r="Y97" s="156"/>
      <c r="Z97" s="156"/>
      <c r="AA97" s="156"/>
      <c r="AB97" s="156"/>
      <c r="AC97" s="190">
        <f t="shared" si="97"/>
        <v>0</v>
      </c>
      <c r="AD97" s="190">
        <f t="shared" si="97"/>
        <v>0</v>
      </c>
      <c r="AE97" s="156"/>
      <c r="AF97" s="156"/>
      <c r="AG97" s="156"/>
      <c r="AH97" s="156"/>
    </row>
    <row r="98" spans="1:172" s="47" customFormat="1" ht="57.75" customHeight="1">
      <c r="A98" s="44" t="s">
        <v>159</v>
      </c>
      <c r="B98" s="45" t="s">
        <v>160</v>
      </c>
      <c r="C98" s="46" t="s">
        <v>50</v>
      </c>
      <c r="D98" s="158"/>
      <c r="E98" s="157">
        <f t="shared" si="93"/>
        <v>0</v>
      </c>
      <c r="F98" s="157">
        <f t="shared" si="93"/>
        <v>0</v>
      </c>
      <c r="G98" s="157">
        <f t="shared" si="68"/>
        <v>0</v>
      </c>
      <c r="H98" s="157">
        <f t="shared" si="68"/>
        <v>0</v>
      </c>
      <c r="I98" s="156"/>
      <c r="J98" s="156"/>
      <c r="K98" s="156"/>
      <c r="L98" s="156"/>
      <c r="M98" s="156"/>
      <c r="N98" s="156"/>
      <c r="O98" s="156"/>
      <c r="P98" s="156"/>
      <c r="Q98" s="190">
        <f t="shared" si="94"/>
        <v>0</v>
      </c>
      <c r="R98" s="190">
        <f t="shared" si="95"/>
        <v>0</v>
      </c>
      <c r="S98" s="156"/>
      <c r="T98" s="156"/>
      <c r="U98" s="156"/>
      <c r="V98" s="156"/>
      <c r="W98" s="190">
        <f t="shared" si="96"/>
        <v>0</v>
      </c>
      <c r="X98" s="190">
        <f t="shared" si="96"/>
        <v>0</v>
      </c>
      <c r="Y98" s="156"/>
      <c r="Z98" s="156"/>
      <c r="AA98" s="156"/>
      <c r="AB98" s="156"/>
      <c r="AC98" s="190">
        <f t="shared" si="97"/>
        <v>0</v>
      </c>
      <c r="AD98" s="190">
        <f t="shared" si="97"/>
        <v>0</v>
      </c>
      <c r="AE98" s="156"/>
      <c r="AF98" s="156"/>
      <c r="AG98" s="156"/>
      <c r="AH98" s="156"/>
    </row>
    <row r="99" spans="1:172" s="76" customFormat="1" ht="27" customHeight="1">
      <c r="A99" s="75" t="s">
        <v>161</v>
      </c>
      <c r="B99" s="61" t="s">
        <v>162</v>
      </c>
      <c r="C99" s="71" t="s">
        <v>50</v>
      </c>
      <c r="D99" s="185"/>
      <c r="E99" s="157">
        <f t="shared" si="93"/>
        <v>0</v>
      </c>
      <c r="F99" s="157">
        <f t="shared" si="93"/>
        <v>0</v>
      </c>
      <c r="G99" s="157">
        <f t="shared" si="68"/>
        <v>0</v>
      </c>
      <c r="H99" s="157">
        <f t="shared" si="68"/>
        <v>0</v>
      </c>
      <c r="I99" s="187"/>
      <c r="J99" s="187"/>
      <c r="K99" s="187"/>
      <c r="L99" s="187"/>
      <c r="M99" s="187"/>
      <c r="N99" s="187"/>
      <c r="O99" s="187"/>
      <c r="P99" s="187"/>
      <c r="Q99" s="190">
        <f t="shared" si="94"/>
        <v>0</v>
      </c>
      <c r="R99" s="190">
        <f t="shared" si="95"/>
        <v>0</v>
      </c>
      <c r="S99" s="187"/>
      <c r="T99" s="187"/>
      <c r="U99" s="187"/>
      <c r="V99" s="187"/>
      <c r="W99" s="190">
        <f t="shared" si="96"/>
        <v>0</v>
      </c>
      <c r="X99" s="190">
        <f t="shared" si="96"/>
        <v>0</v>
      </c>
      <c r="Y99" s="187"/>
      <c r="Z99" s="187"/>
      <c r="AA99" s="187"/>
      <c r="AB99" s="187"/>
      <c r="AC99" s="190">
        <f t="shared" si="97"/>
        <v>0</v>
      </c>
      <c r="AD99" s="190">
        <f t="shared" si="97"/>
        <v>0</v>
      </c>
      <c r="AE99" s="187"/>
      <c r="AF99" s="187"/>
      <c r="AG99" s="187"/>
      <c r="AH99" s="187"/>
    </row>
    <row r="100" spans="1:172" s="63" customFormat="1" ht="27" customHeight="1">
      <c r="A100" s="319" t="s">
        <v>163</v>
      </c>
      <c r="B100" s="320"/>
      <c r="C100" s="58"/>
      <c r="D100" s="184">
        <f>SUM(D101:D104)</f>
        <v>2139900</v>
      </c>
      <c r="E100" s="184">
        <f t="shared" ref="E100:AH100" si="98">SUM(E101:E104)</f>
        <v>2139900</v>
      </c>
      <c r="F100" s="184">
        <f t="shared" si="98"/>
        <v>2138926.84</v>
      </c>
      <c r="G100" s="184">
        <f t="shared" si="98"/>
        <v>156500</v>
      </c>
      <c r="H100" s="184">
        <f t="shared" si="98"/>
        <v>156070</v>
      </c>
      <c r="I100" s="184">
        <f t="shared" si="98"/>
        <v>87600</v>
      </c>
      <c r="J100" s="184">
        <f t="shared" si="98"/>
        <v>0</v>
      </c>
      <c r="K100" s="184">
        <f t="shared" si="98"/>
        <v>25900</v>
      </c>
      <c r="L100" s="184">
        <f t="shared" si="98"/>
        <v>143000</v>
      </c>
      <c r="M100" s="184">
        <f t="shared" si="98"/>
        <v>43000</v>
      </c>
      <c r="N100" s="184">
        <f t="shared" si="98"/>
        <v>13070</v>
      </c>
      <c r="O100" s="184">
        <f t="shared" si="98"/>
        <v>0</v>
      </c>
      <c r="P100" s="184">
        <f t="shared" si="98"/>
        <v>0</v>
      </c>
      <c r="Q100" s="184">
        <f t="shared" si="98"/>
        <v>0</v>
      </c>
      <c r="R100" s="184">
        <f t="shared" si="98"/>
        <v>0</v>
      </c>
      <c r="S100" s="184">
        <f t="shared" si="98"/>
        <v>0</v>
      </c>
      <c r="T100" s="184">
        <f t="shared" si="98"/>
        <v>0</v>
      </c>
      <c r="U100" s="184">
        <f t="shared" si="98"/>
        <v>0</v>
      </c>
      <c r="V100" s="184">
        <f t="shared" si="98"/>
        <v>0</v>
      </c>
      <c r="W100" s="184">
        <f t="shared" si="98"/>
        <v>490000</v>
      </c>
      <c r="X100" s="184">
        <f t="shared" si="98"/>
        <v>490000</v>
      </c>
      <c r="Y100" s="184">
        <f t="shared" si="98"/>
        <v>0</v>
      </c>
      <c r="Z100" s="184">
        <f t="shared" si="98"/>
        <v>0</v>
      </c>
      <c r="AA100" s="184">
        <f t="shared" si="98"/>
        <v>490000</v>
      </c>
      <c r="AB100" s="184">
        <f t="shared" si="98"/>
        <v>490000</v>
      </c>
      <c r="AC100" s="184">
        <f t="shared" si="98"/>
        <v>1493400</v>
      </c>
      <c r="AD100" s="184">
        <f t="shared" si="98"/>
        <v>1492856.84</v>
      </c>
      <c r="AE100" s="184">
        <f t="shared" si="98"/>
        <v>0</v>
      </c>
      <c r="AF100" s="184">
        <f t="shared" si="98"/>
        <v>0</v>
      </c>
      <c r="AG100" s="184">
        <f t="shared" si="98"/>
        <v>1493400</v>
      </c>
      <c r="AH100" s="184">
        <f t="shared" si="98"/>
        <v>1492856.84</v>
      </c>
    </row>
    <row r="101" spans="1:172" s="7" customFormat="1">
      <c r="A101" s="27" t="s">
        <v>63</v>
      </c>
      <c r="B101" s="28" t="s">
        <v>164</v>
      </c>
      <c r="C101" s="29" t="s">
        <v>42</v>
      </c>
      <c r="D101" s="169">
        <v>1493400</v>
      </c>
      <c r="E101" s="157">
        <f>G101+Q101+W101+AC101</f>
        <v>1493400</v>
      </c>
      <c r="F101" s="157">
        <f t="shared" ref="F101:F103" si="99">H101+R101+X101+AD101</f>
        <v>1492856.84</v>
      </c>
      <c r="G101" s="157">
        <f t="shared" si="68"/>
        <v>0</v>
      </c>
      <c r="H101" s="157">
        <f>SUM(J101+L101+N101+P101)</f>
        <v>0</v>
      </c>
      <c r="I101" s="157"/>
      <c r="J101" s="157"/>
      <c r="K101" s="157"/>
      <c r="L101" s="157"/>
      <c r="M101" s="157"/>
      <c r="N101" s="157"/>
      <c r="O101" s="157"/>
      <c r="P101" s="157"/>
      <c r="Q101" s="157">
        <f>SUM(S101+U101)</f>
        <v>0</v>
      </c>
      <c r="R101" s="157">
        <f>SUM(T101+V101)</f>
        <v>0</v>
      </c>
      <c r="S101" s="157"/>
      <c r="T101" s="157"/>
      <c r="U101" s="157"/>
      <c r="V101" s="157"/>
      <c r="W101" s="175">
        <f t="shared" ref="W101:X103" si="100">SUM(Y101+AA101)</f>
        <v>0</v>
      </c>
      <c r="X101" s="175">
        <f t="shared" si="100"/>
        <v>0</v>
      </c>
      <c r="Y101" s="157"/>
      <c r="Z101" s="157"/>
      <c r="AA101" s="157"/>
      <c r="AB101" s="157"/>
      <c r="AC101" s="175">
        <f t="shared" ref="AC101:AD103" si="101">SUM(AE101+AG101)</f>
        <v>1493400</v>
      </c>
      <c r="AD101" s="175">
        <f t="shared" si="101"/>
        <v>1492856.84</v>
      </c>
      <c r="AE101" s="157"/>
      <c r="AF101" s="157"/>
      <c r="AG101" s="157">
        <f>1493400</f>
        <v>1493400</v>
      </c>
      <c r="AH101" s="157">
        <f>4380+10720+6900+2000+7331.94+13060+7400+15757+20000+12600+6220+28220+16240+11920+4640+2740+8180+3200+4380+8600+7200+600+16500+2125+1765+1255+1000+31900+1510+2970+980+11080+1480+2220+7120+4420+3530+7900+4778.62+1510+1000+4590+2125+25560+1000+1255+2220+3475+1530+6320+108000+375+1510+2230+15395+15720+13600+1460+7600+7400+808+144000+7600+1000+108000+510+8355+255+6340+255+1255+31240+16700+21940+750+990+1000+1660+4480+31260+19408+10080+3880+1000+1535+1000+13100+10610+31950+20000+1980+4140+15210+1460+6900+6900+13600+3440+1720+10180+1000+255+255+16800+17656+19180+1660+510+3120+3580+22574+600+967.28+7400+6900+1720+5880+1600+28900+13600+29400+24105+13100+22560+510+6985+415+454+8262+800+875+1050+782+510+15620+35640+1000+1510+7670+1000+3166+23060+368+800+6120+4783+6300+12910+510+13246</f>
        <v>1492856.84</v>
      </c>
    </row>
    <row r="102" spans="1:172" s="7" customFormat="1">
      <c r="A102" s="33" t="s">
        <v>65</v>
      </c>
      <c r="B102" s="34" t="s">
        <v>165</v>
      </c>
      <c r="C102" s="35" t="s">
        <v>42</v>
      </c>
      <c r="D102" s="174">
        <v>120500</v>
      </c>
      <c r="E102" s="157">
        <f t="shared" ref="E102:E103" si="102">G102+Q102+W102+AC102</f>
        <v>120500</v>
      </c>
      <c r="F102" s="157">
        <f t="shared" si="99"/>
        <v>120070</v>
      </c>
      <c r="G102" s="157">
        <f t="shared" si="68"/>
        <v>120500</v>
      </c>
      <c r="H102" s="157">
        <f>SUM(J102+L102+N102+P102)</f>
        <v>120070</v>
      </c>
      <c r="I102" s="175">
        <f>38310+17730+31560</f>
        <v>87600</v>
      </c>
      <c r="J102" s="175"/>
      <c r="K102" s="175">
        <f>3455+1600+2845</f>
        <v>7900</v>
      </c>
      <c r="L102" s="175">
        <f>1200+1660+1330+1660+1080+2700+4000+3300+4000+1300+32500+32500+19000+770</f>
        <v>107000</v>
      </c>
      <c r="M102" s="175">
        <f>10935+5070+8995</f>
        <v>25000</v>
      </c>
      <c r="N102" s="175">
        <f>13070</f>
        <v>13070</v>
      </c>
      <c r="O102" s="175"/>
      <c r="P102" s="175"/>
      <c r="Q102" s="157">
        <f t="shared" ref="Q102:Q103" si="103">SUM(S102+U102)</f>
        <v>0</v>
      </c>
      <c r="R102" s="157">
        <f t="shared" ref="R102:R103" si="104">SUM(T102+V102)</f>
        <v>0</v>
      </c>
      <c r="S102" s="175"/>
      <c r="T102" s="175"/>
      <c r="U102" s="175"/>
      <c r="V102" s="175"/>
      <c r="W102" s="175">
        <f t="shared" si="100"/>
        <v>0</v>
      </c>
      <c r="X102" s="175">
        <f t="shared" si="100"/>
        <v>0</v>
      </c>
      <c r="Y102" s="175"/>
      <c r="Z102" s="175"/>
      <c r="AA102" s="175"/>
      <c r="AB102" s="175"/>
      <c r="AC102" s="175">
        <f t="shared" si="101"/>
        <v>0</v>
      </c>
      <c r="AD102" s="175">
        <f t="shared" si="101"/>
        <v>0</v>
      </c>
      <c r="AE102" s="175"/>
      <c r="AF102" s="175"/>
      <c r="AG102" s="175"/>
      <c r="AH102" s="175"/>
    </row>
    <row r="103" spans="1:172" s="82" customFormat="1">
      <c r="A103" s="77" t="s">
        <v>67</v>
      </c>
      <c r="B103" s="78" t="s">
        <v>166</v>
      </c>
      <c r="C103" s="79" t="s">
        <v>42</v>
      </c>
      <c r="D103" s="275">
        <f>490000</f>
        <v>490000</v>
      </c>
      <c r="E103" s="157">
        <f t="shared" si="102"/>
        <v>490000</v>
      </c>
      <c r="F103" s="157">
        <f t="shared" si="99"/>
        <v>490000</v>
      </c>
      <c r="G103" s="157">
        <f t="shared" si="68"/>
        <v>0</v>
      </c>
      <c r="H103" s="157">
        <f>SUM(J103+L103+N103+P103)</f>
        <v>0</v>
      </c>
      <c r="I103" s="197"/>
      <c r="J103" s="198"/>
      <c r="K103" s="199"/>
      <c r="L103" s="200"/>
      <c r="M103" s="199"/>
      <c r="N103" s="196"/>
      <c r="O103" s="196"/>
      <c r="P103" s="201"/>
      <c r="Q103" s="157">
        <f t="shared" si="103"/>
        <v>0</v>
      </c>
      <c r="R103" s="157">
        <f t="shared" si="104"/>
        <v>0</v>
      </c>
      <c r="S103" s="196"/>
      <c r="T103" s="196"/>
      <c r="U103" s="196"/>
      <c r="V103" s="196"/>
      <c r="W103" s="175">
        <f t="shared" si="100"/>
        <v>490000</v>
      </c>
      <c r="X103" s="175">
        <f t="shared" si="100"/>
        <v>490000</v>
      </c>
      <c r="Y103" s="196"/>
      <c r="Z103" s="202"/>
      <c r="AA103" s="196">
        <f>490000</f>
        <v>490000</v>
      </c>
      <c r="AB103" s="196">
        <f>140000+210000+140000</f>
        <v>490000</v>
      </c>
      <c r="AC103" s="175">
        <f t="shared" si="101"/>
        <v>0</v>
      </c>
      <c r="AD103" s="175">
        <f t="shared" si="101"/>
        <v>0</v>
      </c>
      <c r="AE103" s="196"/>
      <c r="AF103" s="196"/>
      <c r="AG103" s="196"/>
      <c r="AH103" s="196"/>
      <c r="AI103" s="80">
        <f>'[4]อนุรักษ์ (ใต้)'!P$8</f>
        <v>0</v>
      </c>
      <c r="AJ103" s="81"/>
      <c r="AK103" s="81"/>
      <c r="AL103" s="81"/>
      <c r="AM103" s="81" t="e">
        <f>AN103+AO103+AP103+AQ103</f>
        <v>#REF!</v>
      </c>
      <c r="AN103" s="81"/>
      <c r="AO103" s="81" t="e">
        <f>'[4]อนุรักษ์ (ใต้) (2)'!#REF!</f>
        <v>#REF!</v>
      </c>
      <c r="AP103" s="81" t="e">
        <f>'[4]อนุรักษ์ (ใต้) (2)'!#REF!</f>
        <v>#REF!</v>
      </c>
      <c r="AQ103" s="81"/>
      <c r="AR103" s="81">
        <f>AS103+AT103</f>
        <v>0</v>
      </c>
      <c r="AS103" s="81">
        <f>'[4]อนุรักษ์ (ใต้)'!P$50</f>
        <v>0</v>
      </c>
      <c r="AT103" s="81">
        <f>'[4]อนุรักษ์ (ใต้)'!P$105</f>
        <v>0</v>
      </c>
      <c r="AU103" s="81" t="e">
        <f>AV103+AW103</f>
        <v>#REF!</v>
      </c>
      <c r="AV103" s="81"/>
      <c r="AW103" s="81" t="e">
        <f>'[4]อนุรักษ์ (ใต้) (2)'!#REF!</f>
        <v>#REF!</v>
      </c>
      <c r="AX103" s="81">
        <f>AY103+AZ103</f>
        <v>0</v>
      </c>
      <c r="AY103" s="81">
        <f>'[4]อนุรักษ์ (ใต้)'!P$161</f>
        <v>0</v>
      </c>
      <c r="AZ103" s="81"/>
    </row>
    <row r="104" spans="1:172" s="83" customFormat="1" ht="27.75" customHeight="1">
      <c r="A104" s="44" t="s">
        <v>69</v>
      </c>
      <c r="B104" s="45" t="s">
        <v>167</v>
      </c>
      <c r="C104" s="67"/>
      <c r="D104" s="156">
        <f>D105+D106</f>
        <v>36000</v>
      </c>
      <c r="E104" s="156">
        <f t="shared" ref="E104:AH104" si="105">E105+E106</f>
        <v>36000</v>
      </c>
      <c r="F104" s="156">
        <f t="shared" si="105"/>
        <v>36000</v>
      </c>
      <c r="G104" s="156">
        <f t="shared" si="105"/>
        <v>36000</v>
      </c>
      <c r="H104" s="156">
        <f t="shared" si="105"/>
        <v>36000</v>
      </c>
      <c r="I104" s="156">
        <f t="shared" si="105"/>
        <v>0</v>
      </c>
      <c r="J104" s="156">
        <f t="shared" si="105"/>
        <v>0</v>
      </c>
      <c r="K104" s="156">
        <f t="shared" si="105"/>
        <v>18000</v>
      </c>
      <c r="L104" s="156">
        <f t="shared" si="105"/>
        <v>36000</v>
      </c>
      <c r="M104" s="156">
        <f t="shared" si="105"/>
        <v>18000</v>
      </c>
      <c r="N104" s="156">
        <f t="shared" si="105"/>
        <v>0</v>
      </c>
      <c r="O104" s="156">
        <f t="shared" si="105"/>
        <v>0</v>
      </c>
      <c r="P104" s="156">
        <f t="shared" si="105"/>
        <v>0</v>
      </c>
      <c r="Q104" s="156">
        <f t="shared" si="105"/>
        <v>0</v>
      </c>
      <c r="R104" s="156">
        <f t="shared" si="105"/>
        <v>0</v>
      </c>
      <c r="S104" s="156">
        <f t="shared" si="105"/>
        <v>0</v>
      </c>
      <c r="T104" s="156">
        <f t="shared" si="105"/>
        <v>0</v>
      </c>
      <c r="U104" s="156">
        <f t="shared" si="105"/>
        <v>0</v>
      </c>
      <c r="V104" s="156">
        <f t="shared" si="105"/>
        <v>0</v>
      </c>
      <c r="W104" s="156">
        <f t="shared" si="105"/>
        <v>0</v>
      </c>
      <c r="X104" s="156">
        <f t="shared" si="105"/>
        <v>0</v>
      </c>
      <c r="Y104" s="156">
        <f t="shared" si="105"/>
        <v>0</v>
      </c>
      <c r="Z104" s="156">
        <f t="shared" si="105"/>
        <v>0</v>
      </c>
      <c r="AA104" s="156">
        <f t="shared" si="105"/>
        <v>0</v>
      </c>
      <c r="AB104" s="156">
        <f t="shared" si="105"/>
        <v>0</v>
      </c>
      <c r="AC104" s="156">
        <f t="shared" si="105"/>
        <v>0</v>
      </c>
      <c r="AD104" s="156">
        <f t="shared" si="105"/>
        <v>0</v>
      </c>
      <c r="AE104" s="156">
        <f t="shared" si="105"/>
        <v>0</v>
      </c>
      <c r="AF104" s="156">
        <f t="shared" si="105"/>
        <v>0</v>
      </c>
      <c r="AG104" s="156">
        <f t="shared" si="105"/>
        <v>0</v>
      </c>
      <c r="AH104" s="156">
        <f t="shared" si="105"/>
        <v>0</v>
      </c>
    </row>
    <row r="105" spans="1:172" s="43" customFormat="1" ht="25.5" customHeight="1">
      <c r="A105" s="41"/>
      <c r="B105" s="84" t="s">
        <v>168</v>
      </c>
      <c r="C105" s="42" t="s">
        <v>42</v>
      </c>
      <c r="D105" s="177"/>
      <c r="E105" s="157">
        <f t="shared" ref="E105:F106" si="106">G105+Q105+W105+AC105</f>
        <v>0</v>
      </c>
      <c r="F105" s="157">
        <f t="shared" si="106"/>
        <v>0</v>
      </c>
      <c r="G105" s="157">
        <f t="shared" si="68"/>
        <v>0</v>
      </c>
      <c r="H105" s="157">
        <f t="shared" ref="H105:H106" si="107">SUM(J105+L105+N105+P105)</f>
        <v>0</v>
      </c>
      <c r="I105" s="178"/>
      <c r="J105" s="178"/>
      <c r="K105" s="178"/>
      <c r="L105" s="178"/>
      <c r="M105" s="178"/>
      <c r="N105" s="178"/>
      <c r="O105" s="178"/>
      <c r="P105" s="178"/>
      <c r="Q105" s="157">
        <f t="shared" ref="Q105:R106" si="108">SUM(S105+U105)</f>
        <v>0</v>
      </c>
      <c r="R105" s="157">
        <f t="shared" si="108"/>
        <v>0</v>
      </c>
      <c r="S105" s="178"/>
      <c r="T105" s="178"/>
      <c r="U105" s="178"/>
      <c r="V105" s="178"/>
      <c r="W105" s="175">
        <f t="shared" ref="W105:X106" si="109">SUM(Y105+AA105)</f>
        <v>0</v>
      </c>
      <c r="X105" s="175">
        <f t="shared" si="109"/>
        <v>0</v>
      </c>
      <c r="Y105" s="178"/>
      <c r="Z105" s="178"/>
      <c r="AA105" s="178"/>
      <c r="AB105" s="178"/>
      <c r="AC105" s="175">
        <f t="shared" ref="AC105:AD106" si="110">SUM(AE105+AG105)</f>
        <v>0</v>
      </c>
      <c r="AD105" s="175">
        <f t="shared" si="110"/>
        <v>0</v>
      </c>
      <c r="AE105" s="178"/>
      <c r="AF105" s="178"/>
      <c r="AG105" s="178"/>
      <c r="AH105" s="178"/>
    </row>
    <row r="106" spans="1:172" s="43" customFormat="1" ht="26.25" customHeight="1">
      <c r="A106" s="85"/>
      <c r="B106" s="86" t="s">
        <v>169</v>
      </c>
      <c r="C106" s="87" t="s">
        <v>52</v>
      </c>
      <c r="D106" s="276">
        <f>36000</f>
        <v>36000</v>
      </c>
      <c r="E106" s="157">
        <f t="shared" si="106"/>
        <v>36000</v>
      </c>
      <c r="F106" s="157">
        <f>H106+R106+X106+AD106</f>
        <v>36000</v>
      </c>
      <c r="G106" s="157">
        <f t="shared" si="68"/>
        <v>36000</v>
      </c>
      <c r="H106" s="157">
        <f t="shared" si="107"/>
        <v>36000</v>
      </c>
      <c r="I106" s="203"/>
      <c r="J106" s="203"/>
      <c r="K106" s="203">
        <f>10050+4650+3300</f>
        <v>18000</v>
      </c>
      <c r="L106" s="203">
        <f>26700+9300</f>
        <v>36000</v>
      </c>
      <c r="M106" s="203">
        <f>10050+4650+3300</f>
        <v>18000</v>
      </c>
      <c r="N106" s="203"/>
      <c r="O106" s="203"/>
      <c r="P106" s="203"/>
      <c r="Q106" s="157">
        <f t="shared" si="108"/>
        <v>0</v>
      </c>
      <c r="R106" s="157">
        <f t="shared" si="108"/>
        <v>0</v>
      </c>
      <c r="S106" s="203"/>
      <c r="T106" s="203"/>
      <c r="U106" s="203"/>
      <c r="V106" s="203"/>
      <c r="W106" s="175">
        <f t="shared" si="109"/>
        <v>0</v>
      </c>
      <c r="X106" s="175">
        <f t="shared" si="109"/>
        <v>0</v>
      </c>
      <c r="Y106" s="203"/>
      <c r="Z106" s="203"/>
      <c r="AA106" s="203"/>
      <c r="AB106" s="203"/>
      <c r="AC106" s="175">
        <f t="shared" si="110"/>
        <v>0</v>
      </c>
      <c r="AD106" s="175">
        <f t="shared" si="110"/>
        <v>0</v>
      </c>
      <c r="AE106" s="203"/>
      <c r="AF106" s="203"/>
      <c r="AG106" s="203"/>
      <c r="AH106" s="203"/>
    </row>
    <row r="107" spans="1:172" s="63" customFormat="1">
      <c r="A107" s="319" t="s">
        <v>170</v>
      </c>
      <c r="B107" s="320"/>
      <c r="C107" s="58"/>
      <c r="D107" s="184">
        <f>D108+D109</f>
        <v>4444934</v>
      </c>
      <c r="E107" s="184">
        <f t="shared" ref="E107:AH107" si="111">E108+E109</f>
        <v>4444934</v>
      </c>
      <c r="F107" s="184">
        <f t="shared" si="111"/>
        <v>4444657.0600000005</v>
      </c>
      <c r="G107" s="184">
        <f t="shared" si="111"/>
        <v>75000</v>
      </c>
      <c r="H107" s="184">
        <f t="shared" si="111"/>
        <v>74723.06</v>
      </c>
      <c r="I107" s="184">
        <f t="shared" si="111"/>
        <v>0</v>
      </c>
      <c r="J107" s="184">
        <f t="shared" si="111"/>
        <v>0</v>
      </c>
      <c r="K107" s="184">
        <f t="shared" si="111"/>
        <v>27000</v>
      </c>
      <c r="L107" s="184">
        <f t="shared" si="111"/>
        <v>55345</v>
      </c>
      <c r="M107" s="184">
        <f t="shared" si="111"/>
        <v>48000</v>
      </c>
      <c r="N107" s="184">
        <f t="shared" si="111"/>
        <v>14645</v>
      </c>
      <c r="O107" s="184">
        <f t="shared" si="111"/>
        <v>0</v>
      </c>
      <c r="P107" s="184">
        <f t="shared" si="111"/>
        <v>4733.0600000000004</v>
      </c>
      <c r="Q107" s="184">
        <f t="shared" si="111"/>
        <v>4369934</v>
      </c>
      <c r="R107" s="184">
        <f t="shared" si="111"/>
        <v>4369934</v>
      </c>
      <c r="S107" s="184">
        <f t="shared" si="111"/>
        <v>0</v>
      </c>
      <c r="T107" s="184">
        <f t="shared" si="111"/>
        <v>0</v>
      </c>
      <c r="U107" s="184">
        <f t="shared" si="111"/>
        <v>4369934</v>
      </c>
      <c r="V107" s="184">
        <f t="shared" si="111"/>
        <v>4369934</v>
      </c>
      <c r="W107" s="184">
        <f t="shared" si="111"/>
        <v>0</v>
      </c>
      <c r="X107" s="184">
        <f t="shared" si="111"/>
        <v>0</v>
      </c>
      <c r="Y107" s="184">
        <f t="shared" si="111"/>
        <v>0</v>
      </c>
      <c r="Z107" s="184">
        <f t="shared" si="111"/>
        <v>0</v>
      </c>
      <c r="AA107" s="184">
        <f t="shared" si="111"/>
        <v>0</v>
      </c>
      <c r="AB107" s="184">
        <f t="shared" si="111"/>
        <v>0</v>
      </c>
      <c r="AC107" s="184">
        <f t="shared" si="111"/>
        <v>0</v>
      </c>
      <c r="AD107" s="184">
        <f t="shared" si="111"/>
        <v>0</v>
      </c>
      <c r="AE107" s="184">
        <f t="shared" si="111"/>
        <v>0</v>
      </c>
      <c r="AF107" s="184">
        <f t="shared" si="111"/>
        <v>0</v>
      </c>
      <c r="AG107" s="184">
        <f t="shared" si="111"/>
        <v>0</v>
      </c>
      <c r="AH107" s="184">
        <f t="shared" si="111"/>
        <v>0</v>
      </c>
    </row>
    <row r="108" spans="1:172" s="7" customFormat="1" ht="27" customHeight="1">
      <c r="A108" s="27" t="s">
        <v>76</v>
      </c>
      <c r="B108" s="59" t="s">
        <v>171</v>
      </c>
      <c r="C108" s="29" t="s">
        <v>52</v>
      </c>
      <c r="D108" s="169">
        <f>50000</f>
        <v>50000</v>
      </c>
      <c r="E108" s="157">
        <f t="shared" ref="E108" si="112">G108+Q108+W108+AC108</f>
        <v>50000</v>
      </c>
      <c r="F108" s="157">
        <f>H108+R108+X108+AD108</f>
        <v>50000</v>
      </c>
      <c r="G108" s="157">
        <f t="shared" si="68"/>
        <v>50000</v>
      </c>
      <c r="H108" s="157">
        <f t="shared" si="68"/>
        <v>50000</v>
      </c>
      <c r="I108" s="204"/>
      <c r="J108" s="204"/>
      <c r="K108" s="204">
        <f>12672+2700+2628</f>
        <v>18000</v>
      </c>
      <c r="L108" s="204">
        <f>2440+500+2340+1000+1800+1960+1480+2940+1175+8680+2440+1480+10940+1170</f>
        <v>40345</v>
      </c>
      <c r="M108" s="157">
        <f>22528+4800+4672</f>
        <v>32000</v>
      </c>
      <c r="N108" s="157">
        <f>9655</f>
        <v>9655</v>
      </c>
      <c r="O108" s="157"/>
      <c r="P108" s="157"/>
      <c r="Q108" s="157">
        <f>SUM(S108+U108)</f>
        <v>0</v>
      </c>
      <c r="R108" s="157">
        <f>SUM(T108+V108)</f>
        <v>0</v>
      </c>
      <c r="S108" s="157"/>
      <c r="T108" s="157"/>
      <c r="U108" s="157"/>
      <c r="V108" s="205"/>
      <c r="W108" s="157">
        <f>SUM(Y108+AB108)</f>
        <v>0</v>
      </c>
      <c r="X108" s="157">
        <f>SUM(Z108+AC108)</f>
        <v>0</v>
      </c>
      <c r="Y108" s="157"/>
      <c r="Z108" s="157"/>
      <c r="AA108" s="157"/>
      <c r="AB108" s="157"/>
      <c r="AC108" s="157">
        <f>SUM(AE108+AG108)</f>
        <v>0</v>
      </c>
      <c r="AD108" s="157">
        <f>SUM(AF108+AH108)</f>
        <v>0</v>
      </c>
      <c r="AE108" s="157"/>
      <c r="AF108" s="157"/>
      <c r="AG108" s="157"/>
      <c r="AH108" s="157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  <c r="BY108" s="88"/>
      <c r="BZ108" s="88"/>
      <c r="CA108" s="88"/>
      <c r="CB108" s="88"/>
      <c r="CC108" s="88"/>
      <c r="CD108" s="88"/>
      <c r="CE108" s="88"/>
      <c r="CF108" s="88"/>
      <c r="CG108" s="88"/>
      <c r="CH108" s="88"/>
      <c r="CI108" s="88"/>
      <c r="CJ108" s="88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  <c r="CU108" s="88"/>
      <c r="CV108" s="88"/>
      <c r="CW108" s="88"/>
      <c r="CX108" s="88"/>
      <c r="CY108" s="88"/>
      <c r="CZ108" s="88"/>
      <c r="DA108" s="88"/>
      <c r="DB108" s="88"/>
      <c r="DC108" s="88"/>
      <c r="DD108" s="88"/>
      <c r="DE108" s="88"/>
      <c r="DF108" s="88"/>
      <c r="DG108" s="88"/>
      <c r="DH108" s="88"/>
      <c r="DI108" s="88"/>
      <c r="DJ108" s="88"/>
      <c r="DK108" s="88"/>
      <c r="DL108" s="88"/>
      <c r="DM108" s="88"/>
      <c r="DN108" s="88"/>
      <c r="DO108" s="88"/>
      <c r="DP108" s="88"/>
      <c r="DQ108" s="88"/>
      <c r="DR108" s="88"/>
      <c r="DS108" s="88"/>
      <c r="DT108" s="88"/>
      <c r="DU108" s="88"/>
      <c r="DV108" s="88"/>
      <c r="DW108" s="88"/>
      <c r="DX108" s="88"/>
      <c r="DY108" s="88"/>
      <c r="DZ108" s="88"/>
      <c r="EA108" s="88"/>
      <c r="EB108" s="88"/>
      <c r="EC108" s="88"/>
      <c r="ED108" s="88"/>
      <c r="EE108" s="88"/>
      <c r="EF108" s="88"/>
      <c r="EG108" s="88"/>
      <c r="EH108" s="88"/>
      <c r="EI108" s="88"/>
      <c r="EJ108" s="88"/>
      <c r="EK108" s="88"/>
      <c r="EL108" s="88"/>
      <c r="EM108" s="88"/>
      <c r="EN108" s="88"/>
      <c r="EO108" s="88"/>
      <c r="EP108" s="88"/>
      <c r="EQ108" s="88"/>
      <c r="ER108" s="88"/>
      <c r="ES108" s="88"/>
      <c r="ET108" s="88"/>
      <c r="EU108" s="88"/>
      <c r="EV108" s="88"/>
      <c r="EW108" s="88"/>
      <c r="EX108" s="88"/>
      <c r="EY108" s="88"/>
      <c r="EZ108" s="88"/>
      <c r="FA108" s="88"/>
      <c r="FB108" s="88"/>
      <c r="FC108" s="88"/>
      <c r="FD108" s="88"/>
      <c r="FE108" s="88"/>
      <c r="FF108" s="88"/>
      <c r="FG108" s="88"/>
      <c r="FH108" s="88"/>
      <c r="FI108" s="88"/>
      <c r="FJ108" s="88"/>
      <c r="FK108" s="88"/>
      <c r="FL108" s="88"/>
      <c r="FM108" s="88"/>
      <c r="FN108" s="88"/>
      <c r="FO108" s="88"/>
      <c r="FP108" s="88"/>
    </row>
    <row r="109" spans="1:172" s="7" customFormat="1">
      <c r="A109" s="33" t="s">
        <v>78</v>
      </c>
      <c r="B109" s="36" t="s">
        <v>172</v>
      </c>
      <c r="C109" s="35"/>
      <c r="D109" s="174">
        <f>D110+D111+D112</f>
        <v>4394934</v>
      </c>
      <c r="E109" s="174">
        <f t="shared" ref="E109:AH109" si="113">E110+E111+E112</f>
        <v>4394934</v>
      </c>
      <c r="F109" s="174">
        <f t="shared" si="113"/>
        <v>4394657.0600000005</v>
      </c>
      <c r="G109" s="174">
        <f t="shared" si="113"/>
        <v>25000</v>
      </c>
      <c r="H109" s="174">
        <f t="shared" si="113"/>
        <v>24723.06</v>
      </c>
      <c r="I109" s="174">
        <f t="shared" si="113"/>
        <v>0</v>
      </c>
      <c r="J109" s="174">
        <f t="shared" si="113"/>
        <v>0</v>
      </c>
      <c r="K109" s="174">
        <f t="shared" si="113"/>
        <v>9000</v>
      </c>
      <c r="L109" s="174">
        <f t="shared" si="113"/>
        <v>15000</v>
      </c>
      <c r="M109" s="174">
        <f t="shared" si="113"/>
        <v>16000</v>
      </c>
      <c r="N109" s="174">
        <f t="shared" si="113"/>
        <v>4990</v>
      </c>
      <c r="O109" s="174">
        <f t="shared" si="113"/>
        <v>0</v>
      </c>
      <c r="P109" s="174">
        <f t="shared" si="113"/>
        <v>4733.0600000000004</v>
      </c>
      <c r="Q109" s="174">
        <f t="shared" si="113"/>
        <v>4369934</v>
      </c>
      <c r="R109" s="174">
        <f t="shared" si="113"/>
        <v>4369934</v>
      </c>
      <c r="S109" s="174">
        <f t="shared" si="113"/>
        <v>0</v>
      </c>
      <c r="T109" s="174">
        <f t="shared" si="113"/>
        <v>0</v>
      </c>
      <c r="U109" s="174">
        <f t="shared" si="113"/>
        <v>4369934</v>
      </c>
      <c r="V109" s="174">
        <f t="shared" si="113"/>
        <v>4369934</v>
      </c>
      <c r="W109" s="174">
        <f t="shared" si="113"/>
        <v>0</v>
      </c>
      <c r="X109" s="174">
        <f t="shared" si="113"/>
        <v>0</v>
      </c>
      <c r="Y109" s="174">
        <f t="shared" si="113"/>
        <v>0</v>
      </c>
      <c r="Z109" s="174">
        <f t="shared" si="113"/>
        <v>0</v>
      </c>
      <c r="AA109" s="174">
        <f t="shared" si="113"/>
        <v>0</v>
      </c>
      <c r="AB109" s="174">
        <f t="shared" si="113"/>
        <v>0</v>
      </c>
      <c r="AC109" s="174">
        <f t="shared" si="113"/>
        <v>0</v>
      </c>
      <c r="AD109" s="174">
        <f t="shared" si="113"/>
        <v>0</v>
      </c>
      <c r="AE109" s="174">
        <f t="shared" si="113"/>
        <v>0</v>
      </c>
      <c r="AF109" s="174">
        <f t="shared" si="113"/>
        <v>0</v>
      </c>
      <c r="AG109" s="174">
        <f t="shared" si="113"/>
        <v>0</v>
      </c>
      <c r="AH109" s="174">
        <f t="shared" si="113"/>
        <v>0</v>
      </c>
    </row>
    <row r="110" spans="1:172" s="43" customFormat="1">
      <c r="A110" s="41"/>
      <c r="B110" s="38" t="s">
        <v>173</v>
      </c>
      <c r="C110" s="42" t="s">
        <v>47</v>
      </c>
      <c r="D110" s="177">
        <f>2220000+25000-15</f>
        <v>2244985</v>
      </c>
      <c r="E110" s="157">
        <f>G110+Q110+W110+AC110</f>
        <v>2244985</v>
      </c>
      <c r="F110" s="157">
        <f t="shared" ref="F110:F112" si="114">H110+R110+X110+AD110</f>
        <v>2244708.06</v>
      </c>
      <c r="G110" s="157">
        <f>I110+K110+M110+O110</f>
        <v>25000</v>
      </c>
      <c r="H110" s="157">
        <f>J110+L110+N110+P110</f>
        <v>24723.06</v>
      </c>
      <c r="I110" s="178"/>
      <c r="J110" s="178"/>
      <c r="K110" s="178">
        <f>3420+2160+3420</f>
        <v>9000</v>
      </c>
      <c r="L110" s="178">
        <f>5000+5000+5000</f>
        <v>15000</v>
      </c>
      <c r="M110" s="178">
        <f>6080+3840+6080</f>
        <v>16000</v>
      </c>
      <c r="N110" s="178">
        <f>4990</f>
        <v>4990</v>
      </c>
      <c r="O110" s="178"/>
      <c r="P110" s="178">
        <f>4733.06</f>
        <v>4733.0600000000004</v>
      </c>
      <c r="Q110" s="157">
        <f t="shared" ref="Q110:R112" si="115">SUM(S110+U110)</f>
        <v>2219985</v>
      </c>
      <c r="R110" s="157">
        <f t="shared" si="115"/>
        <v>2219985</v>
      </c>
      <c r="S110" s="178"/>
      <c r="T110" s="178"/>
      <c r="U110" s="178">
        <f>2220000-15</f>
        <v>2219985</v>
      </c>
      <c r="V110" s="178">
        <f>127800+94200+50000+24000+14000+23000+27000+84000+40850+33145+233100+116550+77700+7800+29190+38850+77700+38850+266400+44400+133200+88800+44400+88800+166500+55500+27750+83250+55500+27750</f>
        <v>2219985</v>
      </c>
      <c r="W110" s="157">
        <f t="shared" ref="W110:W112" si="116">SUM(Y110+AB110)</f>
        <v>0</v>
      </c>
      <c r="X110" s="157">
        <f t="shared" ref="X110:X112" si="117">SUM(Z110+AC110)</f>
        <v>0</v>
      </c>
      <c r="Y110" s="178"/>
      <c r="Z110" s="178"/>
      <c r="AA110" s="178"/>
      <c r="AB110" s="178"/>
      <c r="AC110" s="157">
        <f t="shared" ref="AC110:AD112" si="118">SUM(AE110+AG110)</f>
        <v>0</v>
      </c>
      <c r="AD110" s="157">
        <f t="shared" si="118"/>
        <v>0</v>
      </c>
      <c r="AE110" s="178"/>
      <c r="AF110" s="178"/>
      <c r="AG110" s="178"/>
      <c r="AH110" s="178"/>
    </row>
    <row r="111" spans="1:172" s="40" customFormat="1" ht="25.5" customHeight="1">
      <c r="A111" s="37"/>
      <c r="B111" s="89" t="s">
        <v>174</v>
      </c>
      <c r="C111" s="39" t="s">
        <v>50</v>
      </c>
      <c r="D111" s="177">
        <f>165000+165000+330000+330000+247500-5</f>
        <v>1237495</v>
      </c>
      <c r="E111" s="157">
        <f t="shared" ref="E111:E112" si="119">G111+Q111+W111+AC111</f>
        <v>1237495</v>
      </c>
      <c r="F111" s="157">
        <f t="shared" si="114"/>
        <v>1237495</v>
      </c>
      <c r="G111" s="157">
        <f t="shared" si="68"/>
        <v>0</v>
      </c>
      <c r="H111" s="157">
        <f>J111+L111+N111+P111</f>
        <v>0</v>
      </c>
      <c r="I111" s="176"/>
      <c r="J111" s="176"/>
      <c r="K111" s="176"/>
      <c r="L111" s="176"/>
      <c r="M111" s="176"/>
      <c r="N111" s="176"/>
      <c r="O111" s="176"/>
      <c r="P111" s="176"/>
      <c r="Q111" s="157">
        <f t="shared" si="115"/>
        <v>1237495</v>
      </c>
      <c r="R111" s="157">
        <f t="shared" si="115"/>
        <v>1237495</v>
      </c>
      <c r="S111" s="176"/>
      <c r="T111" s="176"/>
      <c r="U111" s="176">
        <f>1237500-5</f>
        <v>1237495</v>
      </c>
      <c r="V111" s="176">
        <f>23245+53750+41750+112250+154000+50000+27000+35900+79600+52800+50000+65000+30000+50000+20000+65000+30000+50000+35200+38000+76000+46000+52000</f>
        <v>1237495</v>
      </c>
      <c r="W111" s="157">
        <f t="shared" si="116"/>
        <v>0</v>
      </c>
      <c r="X111" s="157">
        <f t="shared" si="117"/>
        <v>0</v>
      </c>
      <c r="Y111" s="176"/>
      <c r="Z111" s="176"/>
      <c r="AA111" s="176"/>
      <c r="AB111" s="176"/>
      <c r="AC111" s="157">
        <f t="shared" si="118"/>
        <v>0</v>
      </c>
      <c r="AD111" s="157">
        <f t="shared" si="118"/>
        <v>0</v>
      </c>
      <c r="AE111" s="176"/>
      <c r="AF111" s="176"/>
      <c r="AG111" s="176"/>
      <c r="AH111" s="176"/>
    </row>
    <row r="112" spans="1:172" s="43" customFormat="1">
      <c r="A112" s="85"/>
      <c r="B112" s="86" t="s">
        <v>175</v>
      </c>
      <c r="C112" s="87" t="s">
        <v>37</v>
      </c>
      <c r="D112" s="276">
        <f>912600-106-40</f>
        <v>912454</v>
      </c>
      <c r="E112" s="157">
        <f t="shared" si="119"/>
        <v>912454</v>
      </c>
      <c r="F112" s="157">
        <f t="shared" si="114"/>
        <v>912454</v>
      </c>
      <c r="G112" s="157">
        <f t="shared" si="68"/>
        <v>0</v>
      </c>
      <c r="H112" s="157">
        <f>J112+L112+N112+P112</f>
        <v>0</v>
      </c>
      <c r="I112" s="203"/>
      <c r="J112" s="203"/>
      <c r="K112" s="203"/>
      <c r="L112" s="203"/>
      <c r="M112" s="203"/>
      <c r="N112" s="203"/>
      <c r="O112" s="203"/>
      <c r="P112" s="203"/>
      <c r="Q112" s="157">
        <f t="shared" si="115"/>
        <v>912454</v>
      </c>
      <c r="R112" s="157">
        <f t="shared" si="115"/>
        <v>912454</v>
      </c>
      <c r="S112" s="203"/>
      <c r="T112" s="203"/>
      <c r="U112" s="203">
        <f>873200+39400-106-40</f>
        <v>912454</v>
      </c>
      <c r="V112" s="203">
        <f>3550+14500+16500+5828+27900+2225+3325+1990+8250+18595+2800+2750+23550+43050+5500+9300+9000+48000+4325+5505+22190+14764+12535+69930+46620+15540+5828+4275+52100+7650+5827.5+6660+15540+23310+17760+79920+53280+4275+6660+26640+6660+17760+49950+33300+4162+11100+2850+4162+4162.5+11100+2850+16650</f>
        <v>912454</v>
      </c>
      <c r="W112" s="157">
        <f t="shared" si="116"/>
        <v>0</v>
      </c>
      <c r="X112" s="157">
        <f t="shared" si="117"/>
        <v>0</v>
      </c>
      <c r="Y112" s="203"/>
      <c r="Z112" s="203"/>
      <c r="AA112" s="203"/>
      <c r="AB112" s="203"/>
      <c r="AC112" s="157">
        <f t="shared" si="118"/>
        <v>0</v>
      </c>
      <c r="AD112" s="157">
        <f t="shared" si="118"/>
        <v>0</v>
      </c>
      <c r="AE112" s="203"/>
      <c r="AF112" s="203"/>
      <c r="AG112" s="203"/>
      <c r="AH112" s="203"/>
    </row>
    <row r="113" spans="1:172" s="63" customFormat="1">
      <c r="A113" s="319" t="s">
        <v>176</v>
      </c>
      <c r="B113" s="320"/>
      <c r="C113" s="58"/>
      <c r="D113" s="184">
        <f>SUM(D114:D118)</f>
        <v>52600</v>
      </c>
      <c r="E113" s="184">
        <f t="shared" ref="E113:AH113" si="120">SUM(E114:E118)</f>
        <v>52600</v>
      </c>
      <c r="F113" s="184">
        <f t="shared" si="120"/>
        <v>52600</v>
      </c>
      <c r="G113" s="184">
        <f t="shared" si="120"/>
        <v>52600</v>
      </c>
      <c r="H113" s="184">
        <f t="shared" si="120"/>
        <v>52600</v>
      </c>
      <c r="I113" s="184">
        <f t="shared" si="120"/>
        <v>49500</v>
      </c>
      <c r="J113" s="184">
        <f t="shared" si="120"/>
        <v>0</v>
      </c>
      <c r="K113" s="184">
        <f t="shared" si="120"/>
        <v>0</v>
      </c>
      <c r="L113" s="184">
        <f t="shared" si="120"/>
        <v>52600</v>
      </c>
      <c r="M113" s="184">
        <f t="shared" si="120"/>
        <v>3100</v>
      </c>
      <c r="N113" s="184">
        <f t="shared" si="120"/>
        <v>0</v>
      </c>
      <c r="O113" s="184">
        <f t="shared" si="120"/>
        <v>0</v>
      </c>
      <c r="P113" s="184">
        <f t="shared" si="120"/>
        <v>0</v>
      </c>
      <c r="Q113" s="184">
        <f t="shared" si="120"/>
        <v>0</v>
      </c>
      <c r="R113" s="184">
        <f t="shared" si="120"/>
        <v>0</v>
      </c>
      <c r="S113" s="184">
        <f t="shared" si="120"/>
        <v>0</v>
      </c>
      <c r="T113" s="184">
        <f t="shared" si="120"/>
        <v>0</v>
      </c>
      <c r="U113" s="184">
        <f t="shared" si="120"/>
        <v>0</v>
      </c>
      <c r="V113" s="184">
        <f t="shared" si="120"/>
        <v>0</v>
      </c>
      <c r="W113" s="184">
        <f t="shared" si="120"/>
        <v>0</v>
      </c>
      <c r="X113" s="184">
        <f t="shared" si="120"/>
        <v>0</v>
      </c>
      <c r="Y113" s="184">
        <f t="shared" si="120"/>
        <v>0</v>
      </c>
      <c r="Z113" s="184">
        <f t="shared" si="120"/>
        <v>0</v>
      </c>
      <c r="AA113" s="184">
        <f t="shared" si="120"/>
        <v>0</v>
      </c>
      <c r="AB113" s="184">
        <f t="shared" si="120"/>
        <v>0</v>
      </c>
      <c r="AC113" s="184">
        <f t="shared" si="120"/>
        <v>0</v>
      </c>
      <c r="AD113" s="184">
        <f t="shared" si="120"/>
        <v>0</v>
      </c>
      <c r="AE113" s="184">
        <f t="shared" si="120"/>
        <v>0</v>
      </c>
      <c r="AF113" s="184">
        <f t="shared" si="120"/>
        <v>0</v>
      </c>
      <c r="AG113" s="184">
        <f t="shared" si="120"/>
        <v>0</v>
      </c>
      <c r="AH113" s="184">
        <f t="shared" si="120"/>
        <v>0</v>
      </c>
    </row>
    <row r="114" spans="1:172" s="7" customFormat="1">
      <c r="A114" s="27" t="s">
        <v>109</v>
      </c>
      <c r="B114" s="28" t="s">
        <v>177</v>
      </c>
      <c r="C114" s="29" t="s">
        <v>101</v>
      </c>
      <c r="D114" s="169"/>
      <c r="E114" s="157">
        <f t="shared" ref="E114:F118" si="121">G114+Q114+W114+AC114</f>
        <v>0</v>
      </c>
      <c r="F114" s="157">
        <f t="shared" si="121"/>
        <v>0</v>
      </c>
      <c r="G114" s="157">
        <f t="shared" si="68"/>
        <v>0</v>
      </c>
      <c r="H114" s="157">
        <f t="shared" si="68"/>
        <v>0</v>
      </c>
      <c r="I114" s="157"/>
      <c r="J114" s="157"/>
      <c r="K114" s="157"/>
      <c r="L114" s="157"/>
      <c r="M114" s="157"/>
      <c r="N114" s="157"/>
      <c r="O114" s="157"/>
      <c r="P114" s="157"/>
      <c r="Q114" s="157">
        <f>SUM(S114+U114)</f>
        <v>0</v>
      </c>
      <c r="R114" s="157">
        <f>SUM(T114+V114)</f>
        <v>0</v>
      </c>
      <c r="S114" s="157"/>
      <c r="T114" s="157"/>
      <c r="U114" s="157"/>
      <c r="V114" s="157"/>
      <c r="W114" s="157">
        <f>SUM(Y114+AA114)</f>
        <v>0</v>
      </c>
      <c r="X114" s="157">
        <f>SUM(Z114+AB114)</f>
        <v>0</v>
      </c>
      <c r="Y114" s="157"/>
      <c r="Z114" s="157"/>
      <c r="AA114" s="157"/>
      <c r="AB114" s="157"/>
      <c r="AC114" s="157">
        <f>SUM(AE114+AG114)</f>
        <v>0</v>
      </c>
      <c r="AD114" s="157">
        <f>SUM(AF114+AH114)</f>
        <v>0</v>
      </c>
      <c r="AE114" s="157"/>
      <c r="AF114" s="157"/>
      <c r="AG114" s="157"/>
      <c r="AH114" s="157"/>
    </row>
    <row r="115" spans="1:172" s="7" customFormat="1">
      <c r="A115" s="33" t="s">
        <v>112</v>
      </c>
      <c r="B115" s="34" t="s">
        <v>178</v>
      </c>
      <c r="C115" s="35" t="s">
        <v>82</v>
      </c>
      <c r="D115" s="174"/>
      <c r="E115" s="157">
        <f t="shared" si="121"/>
        <v>0</v>
      </c>
      <c r="F115" s="157">
        <f t="shared" si="121"/>
        <v>0</v>
      </c>
      <c r="G115" s="157">
        <f t="shared" si="68"/>
        <v>0</v>
      </c>
      <c r="H115" s="157">
        <f t="shared" si="68"/>
        <v>0</v>
      </c>
      <c r="I115" s="175"/>
      <c r="J115" s="175"/>
      <c r="K115" s="175"/>
      <c r="L115" s="175"/>
      <c r="M115" s="175"/>
      <c r="N115" s="175"/>
      <c r="O115" s="175"/>
      <c r="P115" s="175"/>
      <c r="Q115" s="157">
        <f t="shared" ref="Q115:R118" si="122">SUM(S115+U115)</f>
        <v>0</v>
      </c>
      <c r="R115" s="157">
        <f t="shared" si="122"/>
        <v>0</v>
      </c>
      <c r="S115" s="175"/>
      <c r="T115" s="175"/>
      <c r="U115" s="175"/>
      <c r="V115" s="175"/>
      <c r="W115" s="157">
        <f t="shared" ref="W115:X118" si="123">SUM(Y115+AA115)</f>
        <v>0</v>
      </c>
      <c r="X115" s="157">
        <f t="shared" si="123"/>
        <v>0</v>
      </c>
      <c r="Y115" s="175"/>
      <c r="Z115" s="175"/>
      <c r="AA115" s="175"/>
      <c r="AB115" s="175"/>
      <c r="AC115" s="157">
        <f t="shared" ref="AC115:AD118" si="124">SUM(AE115+AG115)</f>
        <v>0</v>
      </c>
      <c r="AD115" s="157">
        <f t="shared" si="124"/>
        <v>0</v>
      </c>
      <c r="AE115" s="175"/>
      <c r="AF115" s="175"/>
      <c r="AG115" s="175"/>
      <c r="AH115" s="175"/>
    </row>
    <row r="116" spans="1:172" s="7" customFormat="1" ht="24.75" customHeight="1">
      <c r="A116" s="30" t="s">
        <v>114</v>
      </c>
      <c r="B116" s="31" t="s">
        <v>179</v>
      </c>
      <c r="C116" s="32" t="s">
        <v>28</v>
      </c>
      <c r="D116" s="170">
        <f>52600</f>
        <v>52600</v>
      </c>
      <c r="E116" s="157">
        <f t="shared" si="121"/>
        <v>52600</v>
      </c>
      <c r="F116" s="157">
        <f t="shared" si="121"/>
        <v>52600</v>
      </c>
      <c r="G116" s="157">
        <f t="shared" si="68"/>
        <v>52600</v>
      </c>
      <c r="H116" s="157">
        <f t="shared" si="68"/>
        <v>52600</v>
      </c>
      <c r="I116" s="206">
        <f>27950+12705+8845</f>
        <v>49500</v>
      </c>
      <c r="J116" s="206"/>
      <c r="K116" s="206"/>
      <c r="L116" s="206">
        <f>1400+525+14250+1400+1000+1075+1400+525+15250+525+1000+14250</f>
        <v>52600</v>
      </c>
      <c r="M116" s="206">
        <f>1750+795+555</f>
        <v>3100</v>
      </c>
      <c r="N116" s="206"/>
      <c r="O116" s="206"/>
      <c r="P116" s="206"/>
      <c r="Q116" s="157">
        <f t="shared" si="122"/>
        <v>0</v>
      </c>
      <c r="R116" s="157">
        <f t="shared" si="122"/>
        <v>0</v>
      </c>
      <c r="S116" s="206"/>
      <c r="T116" s="206"/>
      <c r="U116" s="206"/>
      <c r="V116" s="206"/>
      <c r="W116" s="157">
        <f t="shared" si="123"/>
        <v>0</v>
      </c>
      <c r="X116" s="157">
        <f t="shared" si="123"/>
        <v>0</v>
      </c>
      <c r="Y116" s="206"/>
      <c r="Z116" s="206"/>
      <c r="AA116" s="206"/>
      <c r="AB116" s="206"/>
      <c r="AC116" s="157">
        <f t="shared" si="124"/>
        <v>0</v>
      </c>
      <c r="AD116" s="157">
        <f t="shared" si="124"/>
        <v>0</v>
      </c>
      <c r="AE116" s="206"/>
      <c r="AF116" s="206"/>
      <c r="AG116" s="206"/>
      <c r="AH116" s="206"/>
    </row>
    <row r="117" spans="1:172" s="7" customFormat="1">
      <c r="A117" s="33" t="s">
        <v>180</v>
      </c>
      <c r="B117" s="34" t="s">
        <v>181</v>
      </c>
      <c r="C117" s="35" t="s">
        <v>111</v>
      </c>
      <c r="D117" s="174"/>
      <c r="E117" s="157">
        <f t="shared" si="121"/>
        <v>0</v>
      </c>
      <c r="F117" s="157">
        <f t="shared" si="121"/>
        <v>0</v>
      </c>
      <c r="G117" s="157">
        <f t="shared" si="68"/>
        <v>0</v>
      </c>
      <c r="H117" s="157">
        <f t="shared" si="68"/>
        <v>0</v>
      </c>
      <c r="I117" s="175"/>
      <c r="J117" s="175"/>
      <c r="K117" s="175"/>
      <c r="L117" s="175"/>
      <c r="M117" s="175"/>
      <c r="N117" s="175"/>
      <c r="O117" s="175"/>
      <c r="P117" s="175"/>
      <c r="Q117" s="157">
        <f t="shared" si="122"/>
        <v>0</v>
      </c>
      <c r="R117" s="157">
        <f t="shared" si="122"/>
        <v>0</v>
      </c>
      <c r="S117" s="175"/>
      <c r="T117" s="175"/>
      <c r="U117" s="175"/>
      <c r="V117" s="175"/>
      <c r="W117" s="157">
        <f t="shared" si="123"/>
        <v>0</v>
      </c>
      <c r="X117" s="157">
        <f t="shared" si="123"/>
        <v>0</v>
      </c>
      <c r="Y117" s="175"/>
      <c r="Z117" s="175"/>
      <c r="AA117" s="175"/>
      <c r="AB117" s="175"/>
      <c r="AC117" s="157">
        <f t="shared" si="124"/>
        <v>0</v>
      </c>
      <c r="AD117" s="157">
        <f t="shared" si="124"/>
        <v>0</v>
      </c>
      <c r="AE117" s="175"/>
      <c r="AF117" s="175"/>
      <c r="AG117" s="175"/>
      <c r="AH117" s="175"/>
    </row>
    <row r="118" spans="1:172" s="7" customFormat="1">
      <c r="A118" s="33" t="s">
        <v>182</v>
      </c>
      <c r="B118" s="34" t="s">
        <v>183</v>
      </c>
      <c r="C118" s="35" t="s">
        <v>52</v>
      </c>
      <c r="D118" s="174"/>
      <c r="E118" s="157">
        <f t="shared" si="121"/>
        <v>0</v>
      </c>
      <c r="F118" s="157">
        <f t="shared" si="121"/>
        <v>0</v>
      </c>
      <c r="G118" s="157">
        <f t="shared" si="68"/>
        <v>0</v>
      </c>
      <c r="H118" s="157">
        <f t="shared" si="68"/>
        <v>0</v>
      </c>
      <c r="I118" s="175"/>
      <c r="J118" s="175"/>
      <c r="K118" s="171"/>
      <c r="L118" s="171"/>
      <c r="M118" s="175"/>
      <c r="N118" s="175"/>
      <c r="O118" s="175"/>
      <c r="P118" s="175"/>
      <c r="Q118" s="157">
        <f t="shared" si="122"/>
        <v>0</v>
      </c>
      <c r="R118" s="157">
        <f t="shared" si="122"/>
        <v>0</v>
      </c>
      <c r="S118" s="175"/>
      <c r="T118" s="175"/>
      <c r="U118" s="175"/>
      <c r="V118" s="175"/>
      <c r="W118" s="157">
        <f t="shared" si="123"/>
        <v>0</v>
      </c>
      <c r="X118" s="157">
        <f t="shared" si="123"/>
        <v>0</v>
      </c>
      <c r="Y118" s="175"/>
      <c r="Z118" s="175"/>
      <c r="AA118" s="175"/>
      <c r="AB118" s="175"/>
      <c r="AC118" s="157">
        <f t="shared" si="124"/>
        <v>0</v>
      </c>
      <c r="AD118" s="157">
        <f t="shared" si="124"/>
        <v>0</v>
      </c>
      <c r="AE118" s="175"/>
      <c r="AF118" s="175"/>
      <c r="AG118" s="175"/>
      <c r="AH118" s="175"/>
    </row>
    <row r="119" spans="1:172" s="92" customFormat="1" ht="27" customHeight="1">
      <c r="A119" s="319" t="s">
        <v>184</v>
      </c>
      <c r="B119" s="330"/>
      <c r="C119" s="90"/>
      <c r="D119" s="184">
        <f>D120</f>
        <v>148000</v>
      </c>
      <c r="E119" s="184">
        <f t="shared" ref="E119:AH119" si="125">E120</f>
        <v>148000</v>
      </c>
      <c r="F119" s="184">
        <f t="shared" si="125"/>
        <v>147989.99</v>
      </c>
      <c r="G119" s="184">
        <f t="shared" si="125"/>
        <v>148000</v>
      </c>
      <c r="H119" s="184">
        <f t="shared" si="125"/>
        <v>147989.99</v>
      </c>
      <c r="I119" s="184">
        <f t="shared" si="125"/>
        <v>0</v>
      </c>
      <c r="J119" s="184">
        <f t="shared" si="125"/>
        <v>0</v>
      </c>
      <c r="K119" s="184">
        <f t="shared" si="125"/>
        <v>148000</v>
      </c>
      <c r="L119" s="184">
        <f t="shared" si="125"/>
        <v>147989.99</v>
      </c>
      <c r="M119" s="184">
        <f t="shared" si="125"/>
        <v>0</v>
      </c>
      <c r="N119" s="184">
        <f t="shared" si="125"/>
        <v>0</v>
      </c>
      <c r="O119" s="184">
        <f t="shared" si="125"/>
        <v>0</v>
      </c>
      <c r="P119" s="184">
        <f t="shared" si="125"/>
        <v>0</v>
      </c>
      <c r="Q119" s="184">
        <f t="shared" si="125"/>
        <v>0</v>
      </c>
      <c r="R119" s="184">
        <f t="shared" si="125"/>
        <v>0</v>
      </c>
      <c r="S119" s="184">
        <f t="shared" si="125"/>
        <v>0</v>
      </c>
      <c r="T119" s="184">
        <f t="shared" si="125"/>
        <v>0</v>
      </c>
      <c r="U119" s="184">
        <f t="shared" si="125"/>
        <v>0</v>
      </c>
      <c r="V119" s="184">
        <f t="shared" si="125"/>
        <v>0</v>
      </c>
      <c r="W119" s="184">
        <f t="shared" si="125"/>
        <v>0</v>
      </c>
      <c r="X119" s="184">
        <f t="shared" si="125"/>
        <v>0</v>
      </c>
      <c r="Y119" s="184">
        <f t="shared" si="125"/>
        <v>0</v>
      </c>
      <c r="Z119" s="184">
        <f t="shared" si="125"/>
        <v>0</v>
      </c>
      <c r="AA119" s="184">
        <f t="shared" si="125"/>
        <v>0</v>
      </c>
      <c r="AB119" s="184">
        <f t="shared" si="125"/>
        <v>0</v>
      </c>
      <c r="AC119" s="184">
        <f t="shared" si="125"/>
        <v>0</v>
      </c>
      <c r="AD119" s="184">
        <f t="shared" si="125"/>
        <v>0</v>
      </c>
      <c r="AE119" s="184">
        <f t="shared" si="125"/>
        <v>0</v>
      </c>
      <c r="AF119" s="184">
        <f t="shared" si="125"/>
        <v>0</v>
      </c>
      <c r="AG119" s="184">
        <f t="shared" si="125"/>
        <v>0</v>
      </c>
      <c r="AH119" s="184">
        <f t="shared" si="125"/>
        <v>0</v>
      </c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H119" s="91"/>
      <c r="BI119" s="91"/>
      <c r="BJ119" s="91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  <c r="BY119" s="91"/>
      <c r="BZ119" s="91"/>
      <c r="CA119" s="91"/>
      <c r="CB119" s="91"/>
      <c r="CC119" s="91"/>
      <c r="CD119" s="91"/>
      <c r="CE119" s="91"/>
      <c r="CF119" s="91"/>
      <c r="CG119" s="91"/>
      <c r="CH119" s="91"/>
      <c r="CI119" s="91"/>
      <c r="CJ119" s="91"/>
      <c r="CK119" s="91"/>
      <c r="CL119" s="91"/>
      <c r="CM119" s="91"/>
      <c r="CN119" s="91"/>
      <c r="CO119" s="91"/>
      <c r="CP119" s="91"/>
      <c r="CQ119" s="91"/>
      <c r="CR119" s="91"/>
      <c r="CS119" s="91"/>
      <c r="CT119" s="91"/>
      <c r="CU119" s="91"/>
      <c r="CV119" s="91"/>
      <c r="CW119" s="91"/>
      <c r="CX119" s="91"/>
      <c r="CY119" s="91"/>
      <c r="CZ119" s="91"/>
      <c r="DA119" s="91"/>
      <c r="DB119" s="91"/>
      <c r="DC119" s="91"/>
      <c r="DD119" s="91"/>
      <c r="DE119" s="91"/>
      <c r="DF119" s="91"/>
      <c r="DG119" s="91"/>
      <c r="DH119" s="91"/>
      <c r="DI119" s="91"/>
      <c r="DJ119" s="91"/>
      <c r="DK119" s="91"/>
      <c r="DL119" s="91"/>
      <c r="DM119" s="91"/>
      <c r="DN119" s="91"/>
      <c r="DO119" s="91"/>
      <c r="DP119" s="91"/>
      <c r="DQ119" s="91"/>
      <c r="DR119" s="91"/>
      <c r="DS119" s="91"/>
      <c r="DT119" s="91"/>
      <c r="DU119" s="91"/>
      <c r="DV119" s="91"/>
      <c r="DW119" s="91"/>
      <c r="DX119" s="91"/>
      <c r="DY119" s="91"/>
      <c r="DZ119" s="91"/>
      <c r="EA119" s="91"/>
      <c r="EB119" s="91"/>
      <c r="EC119" s="91"/>
      <c r="ED119" s="91"/>
      <c r="EE119" s="91"/>
      <c r="EF119" s="91"/>
      <c r="EG119" s="91"/>
      <c r="EH119" s="91"/>
      <c r="EI119" s="91"/>
      <c r="EJ119" s="91"/>
      <c r="EK119" s="91"/>
      <c r="EL119" s="91"/>
      <c r="EM119" s="91"/>
      <c r="EN119" s="91"/>
      <c r="EO119" s="91"/>
      <c r="EP119" s="91"/>
      <c r="EQ119" s="91"/>
      <c r="ER119" s="91"/>
      <c r="ES119" s="91"/>
      <c r="ET119" s="91"/>
      <c r="EU119" s="91"/>
      <c r="EV119" s="91"/>
      <c r="EW119" s="91"/>
      <c r="EX119" s="91"/>
      <c r="EY119" s="91"/>
      <c r="EZ119" s="91"/>
      <c r="FA119" s="91"/>
      <c r="FB119" s="91"/>
      <c r="FC119" s="91"/>
      <c r="FD119" s="91"/>
      <c r="FE119" s="91"/>
      <c r="FF119" s="91"/>
      <c r="FG119" s="91"/>
      <c r="FH119" s="91"/>
      <c r="FI119" s="91"/>
      <c r="FJ119" s="91"/>
      <c r="FK119" s="91"/>
      <c r="FL119" s="91"/>
      <c r="FM119" s="91"/>
      <c r="FN119" s="91"/>
      <c r="FO119" s="91"/>
      <c r="FP119" s="91"/>
    </row>
    <row r="120" spans="1:172" s="7" customFormat="1" ht="24" customHeight="1">
      <c r="A120" s="93" t="s">
        <v>185</v>
      </c>
      <c r="B120" s="59" t="s">
        <v>186</v>
      </c>
      <c r="C120" s="29" t="s">
        <v>33</v>
      </c>
      <c r="D120" s="169">
        <f>148000</f>
        <v>148000</v>
      </c>
      <c r="E120" s="157">
        <f>G120+Q120+W120+AC120</f>
        <v>148000</v>
      </c>
      <c r="F120" s="157">
        <f t="shared" ref="F120" si="126">H120+R120+X120+AD120</f>
        <v>147989.99</v>
      </c>
      <c r="G120" s="157">
        <f t="shared" si="68"/>
        <v>148000</v>
      </c>
      <c r="H120" s="157">
        <f t="shared" si="68"/>
        <v>147989.99</v>
      </c>
      <c r="I120" s="157"/>
      <c r="J120" s="157"/>
      <c r="K120" s="157">
        <f>74500+37200+36300</f>
        <v>148000</v>
      </c>
      <c r="L120" s="157">
        <f>5749.99+1720+11500+11500+11500+11500+11500+11500+11500+9460+11500+2320+2560+11180+11500+11500</f>
        <v>147989.99</v>
      </c>
      <c r="M120" s="157"/>
      <c r="N120" s="157"/>
      <c r="O120" s="157"/>
      <c r="P120" s="157"/>
      <c r="Q120" s="157">
        <f>SUM(S120+U120)</f>
        <v>0</v>
      </c>
      <c r="R120" s="157">
        <f>SUM(T120+V120)</f>
        <v>0</v>
      </c>
      <c r="S120" s="157"/>
      <c r="T120" s="157"/>
      <c r="U120" s="157"/>
      <c r="V120" s="157"/>
      <c r="W120" s="157">
        <f t="shared" ref="W120:X120" si="127">SUM(Y120+AA120)</f>
        <v>0</v>
      </c>
      <c r="X120" s="157">
        <f t="shared" si="127"/>
        <v>0</v>
      </c>
      <c r="Y120" s="157"/>
      <c r="Z120" s="157"/>
      <c r="AA120" s="157"/>
      <c r="AB120" s="157"/>
      <c r="AC120" s="157">
        <f>SUM(AE120+AG120)</f>
        <v>0</v>
      </c>
      <c r="AD120" s="157">
        <f>SUM(AF120+AH120)</f>
        <v>0</v>
      </c>
      <c r="AE120" s="157"/>
      <c r="AF120" s="157"/>
      <c r="AG120" s="157"/>
      <c r="AH120" s="157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88"/>
      <c r="CA120" s="88"/>
      <c r="CB120" s="88"/>
      <c r="CC120" s="88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88"/>
      <c r="DC120" s="88"/>
      <c r="DD120" s="88"/>
      <c r="DE120" s="88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88"/>
      <c r="DQ120" s="88"/>
      <c r="DR120" s="88"/>
      <c r="DS120" s="88"/>
      <c r="DT120" s="88"/>
      <c r="DU120" s="88"/>
      <c r="DV120" s="88"/>
      <c r="DW120" s="88"/>
      <c r="DX120" s="88"/>
      <c r="DY120" s="88"/>
      <c r="DZ120" s="88"/>
      <c r="EA120" s="88"/>
      <c r="EB120" s="88"/>
      <c r="EC120" s="88"/>
      <c r="ED120" s="88"/>
      <c r="EE120" s="88"/>
      <c r="EF120" s="88"/>
      <c r="EG120" s="88"/>
      <c r="EH120" s="88"/>
      <c r="EI120" s="88"/>
      <c r="EJ120" s="88"/>
      <c r="EK120" s="88"/>
      <c r="EL120" s="88"/>
      <c r="EM120" s="88"/>
      <c r="EN120" s="88"/>
      <c r="EO120" s="88"/>
      <c r="EP120" s="88"/>
      <c r="EQ120" s="88"/>
      <c r="ER120" s="88"/>
      <c r="ES120" s="88"/>
      <c r="ET120" s="88"/>
      <c r="EU120" s="88"/>
      <c r="EV120" s="88"/>
      <c r="EW120" s="88"/>
      <c r="EX120" s="88"/>
      <c r="EY120" s="88"/>
      <c r="EZ120" s="88"/>
      <c r="FA120" s="88"/>
      <c r="FB120" s="88"/>
      <c r="FC120" s="88"/>
      <c r="FD120" s="88"/>
      <c r="FE120" s="88"/>
      <c r="FF120" s="88"/>
      <c r="FG120" s="88"/>
      <c r="FH120" s="88"/>
      <c r="FI120" s="88"/>
      <c r="FJ120" s="88"/>
      <c r="FK120" s="88"/>
      <c r="FL120" s="88"/>
      <c r="FM120" s="88"/>
      <c r="FN120" s="88"/>
      <c r="FO120" s="88"/>
      <c r="FP120" s="88"/>
    </row>
    <row r="121" spans="1:172" s="92" customFormat="1" ht="27" customHeight="1">
      <c r="A121" s="319" t="s">
        <v>187</v>
      </c>
      <c r="B121" s="330"/>
      <c r="C121" s="90"/>
      <c r="D121" s="184">
        <f>SUM(D122:D124)</f>
        <v>0</v>
      </c>
      <c r="E121" s="184">
        <f t="shared" ref="E121:AH121" si="128">SUM(E122:E124)</f>
        <v>0</v>
      </c>
      <c r="F121" s="184">
        <f t="shared" si="128"/>
        <v>0</v>
      </c>
      <c r="G121" s="184">
        <f t="shared" si="128"/>
        <v>0</v>
      </c>
      <c r="H121" s="184">
        <f t="shared" si="128"/>
        <v>0</v>
      </c>
      <c r="I121" s="184">
        <f t="shared" si="128"/>
        <v>0</v>
      </c>
      <c r="J121" s="184">
        <f t="shared" si="128"/>
        <v>0</v>
      </c>
      <c r="K121" s="184">
        <f t="shared" si="128"/>
        <v>0</v>
      </c>
      <c r="L121" s="184">
        <f t="shared" si="128"/>
        <v>0</v>
      </c>
      <c r="M121" s="184">
        <f t="shared" si="128"/>
        <v>0</v>
      </c>
      <c r="N121" s="184">
        <f t="shared" si="128"/>
        <v>0</v>
      </c>
      <c r="O121" s="184">
        <f t="shared" si="128"/>
        <v>0</v>
      </c>
      <c r="P121" s="184">
        <f t="shared" si="128"/>
        <v>0</v>
      </c>
      <c r="Q121" s="184">
        <f t="shared" si="128"/>
        <v>0</v>
      </c>
      <c r="R121" s="184">
        <f t="shared" si="128"/>
        <v>0</v>
      </c>
      <c r="S121" s="184">
        <f t="shared" si="128"/>
        <v>0</v>
      </c>
      <c r="T121" s="184">
        <f t="shared" si="128"/>
        <v>0</v>
      </c>
      <c r="U121" s="184">
        <f t="shared" si="128"/>
        <v>0</v>
      </c>
      <c r="V121" s="184">
        <f t="shared" si="128"/>
        <v>0</v>
      </c>
      <c r="W121" s="184">
        <f t="shared" si="128"/>
        <v>0</v>
      </c>
      <c r="X121" s="184">
        <f t="shared" si="128"/>
        <v>0</v>
      </c>
      <c r="Y121" s="184">
        <f t="shared" si="128"/>
        <v>0</v>
      </c>
      <c r="Z121" s="184">
        <f t="shared" si="128"/>
        <v>0</v>
      </c>
      <c r="AA121" s="184">
        <f t="shared" si="128"/>
        <v>0</v>
      </c>
      <c r="AB121" s="184">
        <f t="shared" si="128"/>
        <v>0</v>
      </c>
      <c r="AC121" s="184">
        <f t="shared" si="128"/>
        <v>0</v>
      </c>
      <c r="AD121" s="184">
        <f t="shared" si="128"/>
        <v>0</v>
      </c>
      <c r="AE121" s="184">
        <f t="shared" si="128"/>
        <v>0</v>
      </c>
      <c r="AF121" s="184">
        <f t="shared" si="128"/>
        <v>0</v>
      </c>
      <c r="AG121" s="184">
        <f t="shared" si="128"/>
        <v>0</v>
      </c>
      <c r="AH121" s="184">
        <f t="shared" si="128"/>
        <v>0</v>
      </c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91"/>
      <c r="CA121" s="91"/>
      <c r="CB121" s="91"/>
      <c r="CC121" s="91"/>
      <c r="CD121" s="91"/>
      <c r="CE121" s="91"/>
      <c r="CF121" s="91"/>
      <c r="CG121" s="91"/>
      <c r="CH121" s="91"/>
      <c r="CI121" s="91"/>
      <c r="CJ121" s="91"/>
      <c r="CK121" s="91"/>
      <c r="CL121" s="91"/>
      <c r="CM121" s="91"/>
      <c r="CN121" s="91"/>
      <c r="CO121" s="91"/>
      <c r="CP121" s="91"/>
      <c r="CQ121" s="91"/>
      <c r="CR121" s="91"/>
      <c r="CS121" s="91"/>
      <c r="CT121" s="91"/>
      <c r="CU121" s="91"/>
      <c r="CV121" s="91"/>
      <c r="CW121" s="91"/>
      <c r="CX121" s="91"/>
      <c r="CY121" s="91"/>
      <c r="CZ121" s="91"/>
      <c r="DA121" s="91"/>
      <c r="DB121" s="91"/>
      <c r="DC121" s="91"/>
      <c r="DD121" s="91"/>
      <c r="DE121" s="91"/>
      <c r="DF121" s="91"/>
      <c r="DG121" s="91"/>
      <c r="DH121" s="91"/>
      <c r="DI121" s="91"/>
      <c r="DJ121" s="91"/>
      <c r="DK121" s="91"/>
      <c r="DL121" s="91"/>
      <c r="DM121" s="91"/>
      <c r="DN121" s="91"/>
      <c r="DO121" s="91"/>
      <c r="DP121" s="91"/>
      <c r="DQ121" s="91"/>
      <c r="DR121" s="91"/>
      <c r="DS121" s="91"/>
      <c r="DT121" s="91"/>
      <c r="DU121" s="91"/>
      <c r="DV121" s="91"/>
      <c r="DW121" s="91"/>
      <c r="DX121" s="91"/>
      <c r="DY121" s="91"/>
      <c r="DZ121" s="91"/>
      <c r="EA121" s="91"/>
      <c r="EB121" s="91"/>
      <c r="EC121" s="91"/>
      <c r="ED121" s="91"/>
      <c r="EE121" s="91"/>
      <c r="EF121" s="91"/>
      <c r="EG121" s="91"/>
      <c r="EH121" s="91"/>
      <c r="EI121" s="91"/>
      <c r="EJ121" s="91"/>
      <c r="EK121" s="91"/>
      <c r="EL121" s="91"/>
      <c r="EM121" s="91"/>
      <c r="EN121" s="91"/>
      <c r="EO121" s="91"/>
      <c r="EP121" s="91"/>
      <c r="EQ121" s="91"/>
      <c r="ER121" s="91"/>
      <c r="ES121" s="91"/>
      <c r="ET121" s="91"/>
      <c r="EU121" s="91"/>
      <c r="EV121" s="91"/>
      <c r="EW121" s="91"/>
      <c r="EX121" s="91"/>
      <c r="EY121" s="91"/>
      <c r="EZ121" s="91"/>
      <c r="FA121" s="91"/>
      <c r="FB121" s="91"/>
      <c r="FC121" s="91"/>
      <c r="FD121" s="91"/>
      <c r="FE121" s="91"/>
      <c r="FF121" s="91"/>
      <c r="FG121" s="91"/>
      <c r="FH121" s="91"/>
      <c r="FI121" s="91"/>
      <c r="FJ121" s="91"/>
      <c r="FK121" s="91"/>
      <c r="FL121" s="91"/>
      <c r="FM121" s="91"/>
      <c r="FN121" s="91"/>
      <c r="FO121" s="91"/>
      <c r="FP121" s="91"/>
    </row>
    <row r="122" spans="1:172" s="7" customFormat="1">
      <c r="A122" s="33" t="s">
        <v>188</v>
      </c>
      <c r="B122" s="34" t="s">
        <v>189</v>
      </c>
      <c r="C122" s="35" t="s">
        <v>52</v>
      </c>
      <c r="D122" s="174"/>
      <c r="E122" s="157">
        <f t="shared" ref="E122:F124" si="129">G122+Q122+W122+AC122</f>
        <v>0</v>
      </c>
      <c r="F122" s="157">
        <f t="shared" si="129"/>
        <v>0</v>
      </c>
      <c r="G122" s="157">
        <f t="shared" si="68"/>
        <v>0</v>
      </c>
      <c r="H122" s="175">
        <f>SUM(J122+L122+N122+P122)</f>
        <v>0</v>
      </c>
      <c r="I122" s="175"/>
      <c r="J122" s="175"/>
      <c r="K122" s="171"/>
      <c r="L122" s="171"/>
      <c r="M122" s="175"/>
      <c r="N122" s="175"/>
      <c r="O122" s="175"/>
      <c r="P122" s="175"/>
      <c r="Q122" s="157">
        <f t="shared" ref="Q122:R124" si="130">SUM(S122+U122)</f>
        <v>0</v>
      </c>
      <c r="R122" s="157">
        <f t="shared" si="130"/>
        <v>0</v>
      </c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</row>
    <row r="123" spans="1:172" s="7" customFormat="1">
      <c r="A123" s="33" t="s">
        <v>190</v>
      </c>
      <c r="B123" s="34" t="s">
        <v>191</v>
      </c>
      <c r="C123" s="35" t="s">
        <v>52</v>
      </c>
      <c r="D123" s="174"/>
      <c r="E123" s="157">
        <f t="shared" si="129"/>
        <v>0</v>
      </c>
      <c r="F123" s="157">
        <f t="shared" si="129"/>
        <v>0</v>
      </c>
      <c r="G123" s="157">
        <f t="shared" si="68"/>
        <v>0</v>
      </c>
      <c r="H123" s="175">
        <f>SUM(J123+L123+N123+P123)</f>
        <v>0</v>
      </c>
      <c r="I123" s="175"/>
      <c r="J123" s="175"/>
      <c r="K123" s="171"/>
      <c r="L123" s="171"/>
      <c r="M123" s="175"/>
      <c r="N123" s="175"/>
      <c r="O123" s="175"/>
      <c r="P123" s="175"/>
      <c r="Q123" s="157">
        <f t="shared" si="130"/>
        <v>0</v>
      </c>
      <c r="R123" s="157">
        <f t="shared" si="130"/>
        <v>0</v>
      </c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</row>
    <row r="124" spans="1:172" s="7" customFormat="1" ht="27.75" customHeight="1">
      <c r="A124" s="33" t="s">
        <v>192</v>
      </c>
      <c r="B124" s="36" t="s">
        <v>193</v>
      </c>
      <c r="C124" s="35" t="s">
        <v>42</v>
      </c>
      <c r="D124" s="174"/>
      <c r="E124" s="157">
        <f t="shared" si="129"/>
        <v>0</v>
      </c>
      <c r="F124" s="157">
        <f t="shared" si="129"/>
        <v>0</v>
      </c>
      <c r="G124" s="157">
        <f t="shared" si="68"/>
        <v>0</v>
      </c>
      <c r="H124" s="175">
        <f>SUM(J124+L124+N124+P124)</f>
        <v>0</v>
      </c>
      <c r="I124" s="175"/>
      <c r="J124" s="175"/>
      <c r="K124" s="175"/>
      <c r="L124" s="175"/>
      <c r="M124" s="175"/>
      <c r="N124" s="175"/>
      <c r="O124" s="175"/>
      <c r="P124" s="175"/>
      <c r="Q124" s="157">
        <f t="shared" si="130"/>
        <v>0</v>
      </c>
      <c r="R124" s="157">
        <f t="shared" si="130"/>
        <v>0</v>
      </c>
      <c r="S124" s="175"/>
      <c r="T124" s="175"/>
      <c r="U124" s="175"/>
      <c r="V124" s="174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</row>
    <row r="125" spans="1:172" s="95" customFormat="1" ht="25.5" customHeight="1">
      <c r="A125" s="331" t="s">
        <v>194</v>
      </c>
      <c r="B125" s="332"/>
      <c r="C125" s="94"/>
      <c r="D125" s="207">
        <f>D126+D135</f>
        <v>2945851.54</v>
      </c>
      <c r="E125" s="207">
        <f t="shared" ref="E125:AH125" si="131">E126+E135</f>
        <v>2945851.54</v>
      </c>
      <c r="F125" s="207">
        <f t="shared" si="131"/>
        <v>2945105.1599999997</v>
      </c>
      <c r="G125" s="207">
        <f t="shared" si="131"/>
        <v>974451.54</v>
      </c>
      <c r="H125" s="207">
        <f t="shared" si="131"/>
        <v>973705.15999999968</v>
      </c>
      <c r="I125" s="207">
        <f t="shared" si="131"/>
        <v>0</v>
      </c>
      <c r="J125" s="207">
        <f t="shared" si="131"/>
        <v>0</v>
      </c>
      <c r="K125" s="207">
        <f t="shared" si="131"/>
        <v>283700</v>
      </c>
      <c r="L125" s="207">
        <f t="shared" si="131"/>
        <v>261841.91</v>
      </c>
      <c r="M125" s="207">
        <f t="shared" si="131"/>
        <v>170000</v>
      </c>
      <c r="N125" s="207">
        <f t="shared" si="131"/>
        <v>46215</v>
      </c>
      <c r="O125" s="207">
        <f t="shared" si="131"/>
        <v>520751.54</v>
      </c>
      <c r="P125" s="207">
        <f t="shared" si="131"/>
        <v>665648.24999999965</v>
      </c>
      <c r="Q125" s="207">
        <f t="shared" si="131"/>
        <v>1971400</v>
      </c>
      <c r="R125" s="207">
        <f t="shared" si="131"/>
        <v>1971400</v>
      </c>
      <c r="S125" s="207">
        <f t="shared" si="131"/>
        <v>0</v>
      </c>
      <c r="T125" s="207">
        <f t="shared" si="131"/>
        <v>0</v>
      </c>
      <c r="U125" s="207">
        <f t="shared" si="131"/>
        <v>1971400</v>
      </c>
      <c r="V125" s="207">
        <f t="shared" si="131"/>
        <v>1971400</v>
      </c>
      <c r="W125" s="207">
        <f t="shared" si="131"/>
        <v>0</v>
      </c>
      <c r="X125" s="207">
        <f t="shared" si="131"/>
        <v>0</v>
      </c>
      <c r="Y125" s="207">
        <f t="shared" si="131"/>
        <v>0</v>
      </c>
      <c r="Z125" s="207">
        <f t="shared" si="131"/>
        <v>0</v>
      </c>
      <c r="AA125" s="207">
        <f t="shared" si="131"/>
        <v>0</v>
      </c>
      <c r="AB125" s="207">
        <f t="shared" si="131"/>
        <v>0</v>
      </c>
      <c r="AC125" s="207">
        <f t="shared" si="131"/>
        <v>0</v>
      </c>
      <c r="AD125" s="207">
        <f t="shared" si="131"/>
        <v>0</v>
      </c>
      <c r="AE125" s="207">
        <f t="shared" si="131"/>
        <v>0</v>
      </c>
      <c r="AF125" s="207">
        <f t="shared" si="131"/>
        <v>0</v>
      </c>
      <c r="AG125" s="207">
        <f t="shared" si="131"/>
        <v>0</v>
      </c>
      <c r="AH125" s="207">
        <f t="shared" si="131"/>
        <v>0</v>
      </c>
    </row>
    <row r="126" spans="1:172" s="96" customFormat="1" ht="30" customHeight="1">
      <c r="A126" s="319" t="s">
        <v>195</v>
      </c>
      <c r="B126" s="320"/>
      <c r="C126" s="58"/>
      <c r="D126" s="184">
        <f>SUM(D127:D134)</f>
        <v>2945851.54</v>
      </c>
      <c r="E126" s="184">
        <f t="shared" ref="E126:AH126" si="132">SUM(E127:E134)</f>
        <v>2945851.54</v>
      </c>
      <c r="F126" s="184">
        <f t="shared" si="132"/>
        <v>2945105.1599999997</v>
      </c>
      <c r="G126" s="184">
        <f t="shared" si="132"/>
        <v>974451.54</v>
      </c>
      <c r="H126" s="184">
        <f t="shared" si="132"/>
        <v>973705.15999999968</v>
      </c>
      <c r="I126" s="184">
        <f t="shared" si="132"/>
        <v>0</v>
      </c>
      <c r="J126" s="184">
        <f t="shared" si="132"/>
        <v>0</v>
      </c>
      <c r="K126" s="184">
        <f t="shared" si="132"/>
        <v>283700</v>
      </c>
      <c r="L126" s="184">
        <f t="shared" si="132"/>
        <v>261841.91</v>
      </c>
      <c r="M126" s="184">
        <f t="shared" si="132"/>
        <v>170000</v>
      </c>
      <c r="N126" s="184">
        <f t="shared" si="132"/>
        <v>46215</v>
      </c>
      <c r="O126" s="184">
        <f t="shared" si="132"/>
        <v>520751.54</v>
      </c>
      <c r="P126" s="184">
        <f t="shared" si="132"/>
        <v>665648.24999999965</v>
      </c>
      <c r="Q126" s="184">
        <f t="shared" si="132"/>
        <v>1971400</v>
      </c>
      <c r="R126" s="184">
        <f t="shared" si="132"/>
        <v>1971400</v>
      </c>
      <c r="S126" s="184">
        <f t="shared" si="132"/>
        <v>0</v>
      </c>
      <c r="T126" s="184">
        <f t="shared" si="132"/>
        <v>0</v>
      </c>
      <c r="U126" s="184">
        <f t="shared" si="132"/>
        <v>1971400</v>
      </c>
      <c r="V126" s="184">
        <f t="shared" si="132"/>
        <v>1971400</v>
      </c>
      <c r="W126" s="184">
        <f t="shared" si="132"/>
        <v>0</v>
      </c>
      <c r="X126" s="184">
        <f t="shared" si="132"/>
        <v>0</v>
      </c>
      <c r="Y126" s="184">
        <f t="shared" si="132"/>
        <v>0</v>
      </c>
      <c r="Z126" s="184">
        <f t="shared" si="132"/>
        <v>0</v>
      </c>
      <c r="AA126" s="184">
        <f t="shared" si="132"/>
        <v>0</v>
      </c>
      <c r="AB126" s="184">
        <f t="shared" si="132"/>
        <v>0</v>
      </c>
      <c r="AC126" s="184">
        <f t="shared" si="132"/>
        <v>0</v>
      </c>
      <c r="AD126" s="184">
        <f t="shared" si="132"/>
        <v>0</v>
      </c>
      <c r="AE126" s="184">
        <f t="shared" si="132"/>
        <v>0</v>
      </c>
      <c r="AF126" s="184">
        <f t="shared" si="132"/>
        <v>0</v>
      </c>
      <c r="AG126" s="184">
        <f t="shared" si="132"/>
        <v>0</v>
      </c>
      <c r="AH126" s="184">
        <f t="shared" si="132"/>
        <v>0</v>
      </c>
    </row>
    <row r="127" spans="1:172" s="47" customFormat="1" ht="48.75" customHeight="1">
      <c r="A127" s="97" t="s">
        <v>14</v>
      </c>
      <c r="B127" s="72" t="s">
        <v>196</v>
      </c>
      <c r="C127" s="66" t="s">
        <v>28</v>
      </c>
      <c r="D127" s="194"/>
      <c r="E127" s="157">
        <f t="shared" ref="E127:F134" si="133">G127+Q127+W127+AC127</f>
        <v>0</v>
      </c>
      <c r="F127" s="157">
        <f>H127+R127+X127+AD127</f>
        <v>0</v>
      </c>
      <c r="G127" s="157">
        <f t="shared" ref="G127:H136" si="134">I127+K127+M127+O127</f>
        <v>0</v>
      </c>
      <c r="H127" s="157">
        <f>J127+L127+N127+P127</f>
        <v>0</v>
      </c>
      <c r="I127" s="208"/>
      <c r="J127" s="209"/>
      <c r="K127" s="208"/>
      <c r="L127" s="208"/>
      <c r="M127" s="195"/>
      <c r="N127" s="208"/>
      <c r="O127" s="208"/>
      <c r="P127" s="208"/>
      <c r="Q127" s="195">
        <f>SUM(S127+U127)</f>
        <v>0</v>
      </c>
      <c r="R127" s="195">
        <f>SUM(T127+V127)</f>
        <v>0</v>
      </c>
      <c r="S127" s="208"/>
      <c r="T127" s="208"/>
      <c r="U127" s="208"/>
      <c r="V127" s="208"/>
      <c r="W127" s="208">
        <f>SUM(Y127+AA127)</f>
        <v>0</v>
      </c>
      <c r="X127" s="208">
        <f>SUM(Z127+AB127)</f>
        <v>0</v>
      </c>
      <c r="Y127" s="208"/>
      <c r="Z127" s="208"/>
      <c r="AA127" s="208"/>
      <c r="AB127" s="208"/>
      <c r="AC127" s="208">
        <f>SUM(AE127+AG127)</f>
        <v>0</v>
      </c>
      <c r="AD127" s="208">
        <f>SUM(AF127+AH127)</f>
        <v>0</v>
      </c>
      <c r="AE127" s="208"/>
      <c r="AF127" s="208"/>
      <c r="AG127" s="208"/>
      <c r="AH127" s="208"/>
    </row>
    <row r="128" spans="1:172" s="47" customFormat="1" ht="48" customHeight="1">
      <c r="A128" s="98" t="s">
        <v>23</v>
      </c>
      <c r="B128" s="45" t="s">
        <v>197</v>
      </c>
      <c r="C128" s="46" t="s">
        <v>111</v>
      </c>
      <c r="D128" s="270">
        <f>38400</f>
        <v>38400</v>
      </c>
      <c r="E128" s="157">
        <f t="shared" si="133"/>
        <v>38400</v>
      </c>
      <c r="F128" s="157">
        <f t="shared" si="133"/>
        <v>38107.54</v>
      </c>
      <c r="G128" s="157">
        <f t="shared" si="134"/>
        <v>38400</v>
      </c>
      <c r="H128" s="157">
        <f t="shared" si="134"/>
        <v>38107.54</v>
      </c>
      <c r="I128" s="210"/>
      <c r="J128" s="211"/>
      <c r="K128" s="277">
        <f>23000+7700+7700</f>
        <v>38400</v>
      </c>
      <c r="L128" s="210">
        <f>986+2000+2500+1000+2000+1000+4940+1510+495+1000+4410.54+984+1000+510</f>
        <v>24335.54</v>
      </c>
      <c r="M128" s="212"/>
      <c r="N128" s="210">
        <f>13772</f>
        <v>13772</v>
      </c>
      <c r="O128" s="210"/>
      <c r="P128" s="210"/>
      <c r="Q128" s="195">
        <f t="shared" ref="Q128:Q134" si="135">SUM(S128+U128)</f>
        <v>0</v>
      </c>
      <c r="R128" s="195">
        <f t="shared" ref="R128:R134" si="136">SUM(T128+V128)</f>
        <v>0</v>
      </c>
      <c r="S128" s="210"/>
      <c r="T128" s="210"/>
      <c r="U128" s="210"/>
      <c r="V128" s="210"/>
      <c r="W128" s="208">
        <f t="shared" ref="W128:X134" si="137">SUM(Y128+AA128)</f>
        <v>0</v>
      </c>
      <c r="X128" s="208">
        <f t="shared" si="137"/>
        <v>0</v>
      </c>
      <c r="Y128" s="210"/>
      <c r="Z128" s="210"/>
      <c r="AA128" s="210"/>
      <c r="AB128" s="210"/>
      <c r="AC128" s="208">
        <f t="shared" ref="AC128:AD134" si="138">SUM(AE128+AG128)</f>
        <v>0</v>
      </c>
      <c r="AD128" s="208">
        <f t="shared" si="138"/>
        <v>0</v>
      </c>
      <c r="AE128" s="210"/>
      <c r="AF128" s="210"/>
      <c r="AG128" s="210"/>
      <c r="AH128" s="210"/>
    </row>
    <row r="129" spans="1:172" s="47" customFormat="1">
      <c r="A129" s="98" t="s">
        <v>124</v>
      </c>
      <c r="B129" s="45" t="s">
        <v>198</v>
      </c>
      <c r="C129" s="46" t="s">
        <v>28</v>
      </c>
      <c r="D129" s="270">
        <v>115300</v>
      </c>
      <c r="E129" s="157">
        <f t="shared" si="133"/>
        <v>115300</v>
      </c>
      <c r="F129" s="157">
        <f t="shared" si="133"/>
        <v>115299.37</v>
      </c>
      <c r="G129" s="157">
        <f t="shared" si="134"/>
        <v>115300</v>
      </c>
      <c r="H129" s="157">
        <f t="shared" si="134"/>
        <v>115299.37</v>
      </c>
      <c r="I129" s="210"/>
      <c r="J129" s="211"/>
      <c r="K129" s="277">
        <f>43240+19710+14350</f>
        <v>77300</v>
      </c>
      <c r="L129" s="210">
        <f>16300+6640+4163.37+2460+5380+1000+6340+13380+10920+8740+3760+16693+7740</f>
        <v>103516.37</v>
      </c>
      <c r="M129" s="278">
        <f>21260+9690+7050</f>
        <v>38000</v>
      </c>
      <c r="N129" s="210">
        <f>11783</f>
        <v>11783</v>
      </c>
      <c r="O129" s="210"/>
      <c r="P129" s="210"/>
      <c r="Q129" s="195">
        <f t="shared" si="135"/>
        <v>0</v>
      </c>
      <c r="R129" s="195">
        <f t="shared" si="136"/>
        <v>0</v>
      </c>
      <c r="S129" s="210"/>
      <c r="T129" s="210"/>
      <c r="U129" s="210"/>
      <c r="V129" s="210"/>
      <c r="W129" s="208">
        <f t="shared" si="137"/>
        <v>0</v>
      </c>
      <c r="X129" s="208">
        <f t="shared" si="137"/>
        <v>0</v>
      </c>
      <c r="Y129" s="210"/>
      <c r="Z129" s="210"/>
      <c r="AA129" s="210"/>
      <c r="AB129" s="210"/>
      <c r="AC129" s="208">
        <f t="shared" si="138"/>
        <v>0</v>
      </c>
      <c r="AD129" s="208">
        <f t="shared" si="138"/>
        <v>0</v>
      </c>
      <c r="AE129" s="210"/>
      <c r="AF129" s="210"/>
      <c r="AG129" s="210"/>
      <c r="AH129" s="210"/>
    </row>
    <row r="130" spans="1:172" s="47" customFormat="1" ht="48.75" customHeight="1">
      <c r="A130" s="44" t="s">
        <v>126</v>
      </c>
      <c r="B130" s="45" t="s">
        <v>199</v>
      </c>
      <c r="C130" s="46" t="s">
        <v>28</v>
      </c>
      <c r="D130" s="270">
        <f>100000</f>
        <v>100000</v>
      </c>
      <c r="E130" s="157">
        <f t="shared" si="133"/>
        <v>100000</v>
      </c>
      <c r="F130" s="157">
        <f t="shared" si="133"/>
        <v>100000</v>
      </c>
      <c r="G130" s="157">
        <f t="shared" si="134"/>
        <v>100000</v>
      </c>
      <c r="H130" s="157">
        <f t="shared" si="134"/>
        <v>100000</v>
      </c>
      <c r="I130" s="210"/>
      <c r="J130" s="211"/>
      <c r="K130" s="277">
        <f>38148+17136+12716</f>
        <v>68000</v>
      </c>
      <c r="L130" s="210">
        <f>20620+21660+17260+700+13600+1000+14100+8600+2460</f>
        <v>100000</v>
      </c>
      <c r="M130" s="278">
        <f>17952+8064+5984</f>
        <v>32000</v>
      </c>
      <c r="N130" s="210"/>
      <c r="O130" s="210"/>
      <c r="P130" s="210"/>
      <c r="Q130" s="195">
        <f t="shared" si="135"/>
        <v>0</v>
      </c>
      <c r="R130" s="195">
        <f t="shared" si="136"/>
        <v>0</v>
      </c>
      <c r="S130" s="210"/>
      <c r="T130" s="210"/>
      <c r="U130" s="210"/>
      <c r="V130" s="210"/>
      <c r="W130" s="208">
        <f t="shared" si="137"/>
        <v>0</v>
      </c>
      <c r="X130" s="208">
        <f t="shared" si="137"/>
        <v>0</v>
      </c>
      <c r="Y130" s="210"/>
      <c r="Z130" s="210"/>
      <c r="AA130" s="210"/>
      <c r="AB130" s="210"/>
      <c r="AC130" s="208">
        <f t="shared" si="138"/>
        <v>0</v>
      </c>
      <c r="AD130" s="208">
        <f t="shared" si="138"/>
        <v>0</v>
      </c>
      <c r="AE130" s="210"/>
      <c r="AF130" s="210"/>
      <c r="AG130" s="210"/>
      <c r="AH130" s="210"/>
    </row>
    <row r="131" spans="1:172" s="47" customFormat="1" ht="26.25" customHeight="1">
      <c r="A131" s="44" t="s">
        <v>128</v>
      </c>
      <c r="B131" s="48" t="s">
        <v>200</v>
      </c>
      <c r="C131" s="46" t="s">
        <v>28</v>
      </c>
      <c r="D131" s="174">
        <f>200000+1341000-52000+430000+90751.54</f>
        <v>2009751.54</v>
      </c>
      <c r="E131" s="157">
        <f t="shared" si="133"/>
        <v>2009751.54</v>
      </c>
      <c r="F131" s="157">
        <f t="shared" si="133"/>
        <v>2009298.2499999995</v>
      </c>
      <c r="G131" s="157">
        <f t="shared" si="134"/>
        <v>720751.54</v>
      </c>
      <c r="H131" s="157">
        <f t="shared" si="134"/>
        <v>720298.24999999965</v>
      </c>
      <c r="I131" s="191"/>
      <c r="J131" s="213"/>
      <c r="K131" s="175">
        <f>55500+27000+17500</f>
        <v>100000</v>
      </c>
      <c r="L131" s="156">
        <f>500+4510+1000+5020+1000+500+1000+1000+7420+1980+980+2080+1200+3800+2000</f>
        <v>33990</v>
      </c>
      <c r="M131" s="271">
        <f>55500+27000+17500</f>
        <v>100000</v>
      </c>
      <c r="N131" s="191">
        <f>13336.52+903.19+217.17+4934.92+256.47+351.16+132.04+478.53+50</f>
        <v>20660.000000000004</v>
      </c>
      <c r="O131" s="271">
        <f>430000+90751.54</f>
        <v>520751.54</v>
      </c>
      <c r="P131" s="191">
        <f>2774.77+2438.1+1724.82+3412.35+1024.15+470.8+1162.07+3909.61+3287.77+1605+3292.02+3051.31+1029.66+581.98+3326.38+1465.51+935.88+1605+3153.05+2992.4+3091.43+518.95+663.4+946.92+643.61+449.4+2665.97+2512.61+1605+738.3+667.01+631.3+631.3+631.3+631.3+3653.08+972.35+556.4+663.4+625.95+620.82+663.4+1071.16+781.64+1157.61+952.3+738.3+1126.72+611.04+2051.01+441.91+235.4+347.75+952.3+952.3+374.43+689.62+1021.75+1605+1287.3+384.69+593.85+2629.16+663.4+663.4+3744.57+324.97+593.85+593.85+360.59+631.3+631.3+2103.58+2331.34+1989.79+631.3+663.4+923.08+978.01+513.6+513.6+3119.39+952.3+3671.88+738.3+0+4398.07+4681.34+12390.13+14292.62+10077.3+13045.93+16622.02+19521.87+21094.33+19884.46+8327.69+7473.31+7937.57+9461.77+12548.72+13050.47+11274.08+1150.04+712.62+1381.16+781.64+1427.38+666.61+965.68+1080.7+264.29+284.62+365.94+203.3+406.6+386.27+243.96+203.3+2664.3+2664.3+2664.3+631.3+6808.82+12386.3+11470.27+849.05+872.05+4393.82+5269.1+5984.65+5620.65+5295.33+737.36+3749.5+107+107+107+107+335.98+288.9+235.4+732.95+732.95+736+732.95+732.95+732.95+104.86+103.26+104.7+116.1+109.35+3179.94+4374.66+5377.71+8942+10097+7723+5717+4436+5569+5841+2664.3+2664.3+2664.3+2664.3+184.04+174.41+200.09+123.05+131.5+3914.25+2869.88+2801.4+129.1+113.85+135.19+631.3+107+251.45+2122.29+107+107+749+749+631.3+631.3+631.3+4142.55+2771.04+107+4734+735.63+192.6+749+391.74+593.85+1714.07+631.3+1197.74+952.3+952.3+952.3+3937.09+2761.46+1060.4+714.33+3109.06+1596.99+593.85+3201.91+1170.26+2498.94+631.3+631.3+689.62+3252.56+5427.91+5192.85+5093.56+1230.69+5283.94+1856.88+712.62+192.6+161.57+107+196.88+107+20923.13+12247.39+10990.89+10899.58+6082.9+736+736+108.07+5619.16+6938.97+6946.58+4182.49+3594.68+107+107+749+2664.3+113.85</f>
        <v>665648.24999999965</v>
      </c>
      <c r="Q131" s="195">
        <f t="shared" si="135"/>
        <v>1289000</v>
      </c>
      <c r="R131" s="195">
        <f t="shared" si="136"/>
        <v>1289000</v>
      </c>
      <c r="S131" s="191"/>
      <c r="T131" s="191"/>
      <c r="U131" s="191">
        <f>1341000-52000</f>
        <v>1289000</v>
      </c>
      <c r="V131" s="191">
        <f>309360+309360+309360+360920</f>
        <v>1289000</v>
      </c>
      <c r="W131" s="208">
        <f t="shared" si="137"/>
        <v>0</v>
      </c>
      <c r="X131" s="208">
        <f t="shared" si="137"/>
        <v>0</v>
      </c>
      <c r="Y131" s="191"/>
      <c r="Z131" s="191"/>
      <c r="AA131" s="191"/>
      <c r="AB131" s="191"/>
      <c r="AC131" s="208">
        <f t="shared" si="138"/>
        <v>0</v>
      </c>
      <c r="AD131" s="208">
        <f t="shared" si="138"/>
        <v>0</v>
      </c>
      <c r="AE131" s="191"/>
      <c r="AF131" s="191"/>
      <c r="AG131" s="191"/>
      <c r="AH131" s="191"/>
    </row>
    <row r="132" spans="1:172" s="47" customFormat="1" ht="29.25" customHeight="1">
      <c r="A132" s="44" t="s">
        <v>201</v>
      </c>
      <c r="B132" s="45" t="s">
        <v>202</v>
      </c>
      <c r="C132" s="67" t="s">
        <v>28</v>
      </c>
      <c r="D132" s="174">
        <f>682400</f>
        <v>682400</v>
      </c>
      <c r="E132" s="157">
        <f t="shared" si="133"/>
        <v>682400</v>
      </c>
      <c r="F132" s="157">
        <f t="shared" si="133"/>
        <v>682400</v>
      </c>
      <c r="G132" s="157">
        <f t="shared" si="134"/>
        <v>0</v>
      </c>
      <c r="H132" s="157">
        <f t="shared" si="134"/>
        <v>0</v>
      </c>
      <c r="I132" s="191"/>
      <c r="J132" s="213"/>
      <c r="K132" s="156"/>
      <c r="L132" s="156"/>
      <c r="M132" s="191"/>
      <c r="N132" s="191"/>
      <c r="O132" s="191"/>
      <c r="P132" s="191"/>
      <c r="Q132" s="195">
        <f t="shared" si="135"/>
        <v>682400</v>
      </c>
      <c r="R132" s="195">
        <f t="shared" si="136"/>
        <v>682400</v>
      </c>
      <c r="S132" s="191"/>
      <c r="T132" s="191"/>
      <c r="U132" s="191">
        <f>341200+341200</f>
        <v>682400</v>
      </c>
      <c r="V132" s="191">
        <f>9000+9000+9000+9000+9000+9000+15000+15000+8520+6780+11860+9000+15000+9000+9000+9000+15000+9000+9000+3420+4860+4860+10240+15000+15000+9000+9000+9000+9000+9000+9000+7960+9540+1280+9000+9000+9000+15000+15000+9000+9000+9000+7760+1720+15675+9740+9000+9000+9000+9000+9000+9000+15000+15000+1720+3420+1500+6140+4060+8960+4545+9000+9000+5340+8500+9000+9000+9000+9000+15000+15000+15000+15000</f>
        <v>682400</v>
      </c>
      <c r="W132" s="208">
        <f t="shared" si="137"/>
        <v>0</v>
      </c>
      <c r="X132" s="208">
        <f t="shared" si="137"/>
        <v>0</v>
      </c>
      <c r="Y132" s="191"/>
      <c r="Z132" s="191"/>
      <c r="AA132" s="191"/>
      <c r="AB132" s="191"/>
      <c r="AC132" s="208">
        <f t="shared" si="138"/>
        <v>0</v>
      </c>
      <c r="AD132" s="208">
        <f t="shared" si="138"/>
        <v>0</v>
      </c>
      <c r="AE132" s="191"/>
      <c r="AF132" s="191"/>
      <c r="AG132" s="191"/>
      <c r="AH132" s="191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0"/>
      <c r="DK132" s="50"/>
      <c r="DL132" s="50"/>
      <c r="DM132" s="50"/>
      <c r="DN132" s="50"/>
      <c r="DO132" s="50"/>
      <c r="DP132" s="50"/>
      <c r="DQ132" s="50"/>
      <c r="DR132" s="50"/>
      <c r="DS132" s="50"/>
      <c r="DT132" s="50"/>
      <c r="DU132" s="50"/>
      <c r="DV132" s="50"/>
      <c r="DW132" s="50"/>
      <c r="DX132" s="50"/>
      <c r="DY132" s="50"/>
      <c r="DZ132" s="50"/>
      <c r="EA132" s="50"/>
      <c r="EB132" s="50"/>
      <c r="EC132" s="50"/>
      <c r="ED132" s="50"/>
      <c r="EE132" s="50"/>
      <c r="EF132" s="50"/>
      <c r="EG132" s="50"/>
      <c r="EH132" s="50"/>
      <c r="EI132" s="50"/>
      <c r="EJ132" s="5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</row>
    <row r="133" spans="1:172" s="47" customFormat="1" ht="30.75" customHeight="1">
      <c r="A133" s="44" t="s">
        <v>203</v>
      </c>
      <c r="B133" s="45" t="s">
        <v>204</v>
      </c>
      <c r="C133" s="67" t="s">
        <v>28</v>
      </c>
      <c r="D133" s="158"/>
      <c r="E133" s="157">
        <f t="shared" si="133"/>
        <v>0</v>
      </c>
      <c r="F133" s="157">
        <f t="shared" si="133"/>
        <v>0</v>
      </c>
      <c r="G133" s="157">
        <f t="shared" si="134"/>
        <v>0</v>
      </c>
      <c r="H133" s="157">
        <f t="shared" si="134"/>
        <v>0</v>
      </c>
      <c r="I133" s="191"/>
      <c r="J133" s="213"/>
      <c r="K133" s="156"/>
      <c r="L133" s="156"/>
      <c r="M133" s="191"/>
      <c r="N133" s="191"/>
      <c r="O133" s="191"/>
      <c r="P133" s="191"/>
      <c r="Q133" s="195">
        <f t="shared" si="135"/>
        <v>0</v>
      </c>
      <c r="R133" s="195">
        <f t="shared" si="136"/>
        <v>0</v>
      </c>
      <c r="S133" s="191"/>
      <c r="T133" s="191"/>
      <c r="U133" s="191"/>
      <c r="V133" s="191"/>
      <c r="W133" s="208">
        <f t="shared" si="137"/>
        <v>0</v>
      </c>
      <c r="X133" s="208">
        <f t="shared" si="137"/>
        <v>0</v>
      </c>
      <c r="Y133" s="191"/>
      <c r="Z133" s="191"/>
      <c r="AA133" s="191"/>
      <c r="AB133" s="191"/>
      <c r="AC133" s="208">
        <f t="shared" si="138"/>
        <v>0</v>
      </c>
      <c r="AD133" s="208">
        <f t="shared" si="138"/>
        <v>0</v>
      </c>
      <c r="AE133" s="191"/>
      <c r="AF133" s="191"/>
      <c r="AG133" s="191"/>
      <c r="AH133" s="191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  <c r="DR133" s="50"/>
      <c r="DS133" s="50"/>
      <c r="DT133" s="50"/>
      <c r="DU133" s="50"/>
      <c r="DV133" s="50"/>
      <c r="DW133" s="50"/>
      <c r="DX133" s="50"/>
      <c r="DY133" s="50"/>
      <c r="DZ133" s="50"/>
      <c r="EA133" s="50"/>
      <c r="EB133" s="50"/>
      <c r="EC133" s="50"/>
      <c r="ED133" s="50"/>
      <c r="EE133" s="50"/>
      <c r="EF133" s="50"/>
      <c r="EG133" s="50"/>
      <c r="EH133" s="50"/>
      <c r="EI133" s="50"/>
      <c r="EJ133" s="5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</row>
    <row r="134" spans="1:172" s="47" customFormat="1" ht="70.5" customHeight="1">
      <c r="A134" s="44" t="s">
        <v>205</v>
      </c>
      <c r="B134" s="45" t="s">
        <v>206</v>
      </c>
      <c r="C134" s="67" t="s">
        <v>111</v>
      </c>
      <c r="D134" s="158"/>
      <c r="E134" s="157">
        <f t="shared" si="133"/>
        <v>0</v>
      </c>
      <c r="F134" s="157">
        <f t="shared" si="133"/>
        <v>0</v>
      </c>
      <c r="G134" s="157">
        <f t="shared" si="134"/>
        <v>0</v>
      </c>
      <c r="H134" s="157">
        <f t="shared" si="134"/>
        <v>0</v>
      </c>
      <c r="I134" s="191"/>
      <c r="J134" s="213"/>
      <c r="K134" s="190"/>
      <c r="L134" s="190"/>
      <c r="M134" s="191"/>
      <c r="N134" s="191"/>
      <c r="O134" s="191"/>
      <c r="P134" s="191"/>
      <c r="Q134" s="195">
        <f t="shared" si="135"/>
        <v>0</v>
      </c>
      <c r="R134" s="195">
        <f t="shared" si="136"/>
        <v>0</v>
      </c>
      <c r="S134" s="191"/>
      <c r="T134" s="191"/>
      <c r="U134" s="191"/>
      <c r="V134" s="191"/>
      <c r="W134" s="208">
        <f t="shared" si="137"/>
        <v>0</v>
      </c>
      <c r="X134" s="208">
        <f t="shared" si="137"/>
        <v>0</v>
      </c>
      <c r="Y134" s="191"/>
      <c r="Z134" s="191"/>
      <c r="AA134" s="191"/>
      <c r="AB134" s="191"/>
      <c r="AC134" s="208">
        <f t="shared" si="138"/>
        <v>0</v>
      </c>
      <c r="AD134" s="208">
        <f t="shared" si="138"/>
        <v>0</v>
      </c>
      <c r="AE134" s="191"/>
      <c r="AF134" s="191"/>
      <c r="AG134" s="191"/>
      <c r="AH134" s="191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  <c r="DR134" s="50"/>
      <c r="DS134" s="50"/>
      <c r="DT134" s="50"/>
      <c r="DU134" s="50"/>
      <c r="DV134" s="50"/>
      <c r="DW134" s="50"/>
      <c r="DX134" s="50"/>
      <c r="DY134" s="50"/>
      <c r="DZ134" s="50"/>
      <c r="EA134" s="50"/>
      <c r="EB134" s="50"/>
      <c r="EC134" s="50"/>
      <c r="ED134" s="50"/>
      <c r="EE134" s="50"/>
      <c r="EF134" s="50"/>
      <c r="EG134" s="50"/>
      <c r="EH134" s="50"/>
      <c r="EI134" s="50"/>
      <c r="EJ134" s="5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</row>
    <row r="135" spans="1:172" s="96" customFormat="1" ht="30.75" customHeight="1">
      <c r="A135" s="319" t="s">
        <v>207</v>
      </c>
      <c r="B135" s="320"/>
      <c r="C135" s="58"/>
      <c r="D135" s="184">
        <f>D136</f>
        <v>0</v>
      </c>
      <c r="E135" s="184">
        <f t="shared" ref="E135:AH135" si="139">E136</f>
        <v>0</v>
      </c>
      <c r="F135" s="184">
        <f t="shared" si="139"/>
        <v>0</v>
      </c>
      <c r="G135" s="184">
        <f t="shared" si="139"/>
        <v>0</v>
      </c>
      <c r="H135" s="184">
        <f t="shared" si="139"/>
        <v>0</v>
      </c>
      <c r="I135" s="184">
        <f t="shared" si="139"/>
        <v>0</v>
      </c>
      <c r="J135" s="184">
        <f t="shared" si="139"/>
        <v>0</v>
      </c>
      <c r="K135" s="184">
        <f t="shared" si="139"/>
        <v>0</v>
      </c>
      <c r="L135" s="184">
        <f t="shared" si="139"/>
        <v>0</v>
      </c>
      <c r="M135" s="184">
        <f t="shared" si="139"/>
        <v>0</v>
      </c>
      <c r="N135" s="184">
        <f t="shared" si="139"/>
        <v>0</v>
      </c>
      <c r="O135" s="184">
        <f t="shared" si="139"/>
        <v>0</v>
      </c>
      <c r="P135" s="184">
        <f t="shared" si="139"/>
        <v>0</v>
      </c>
      <c r="Q135" s="184">
        <f t="shared" si="139"/>
        <v>0</v>
      </c>
      <c r="R135" s="184">
        <f t="shared" si="139"/>
        <v>0</v>
      </c>
      <c r="S135" s="184">
        <f t="shared" si="139"/>
        <v>0</v>
      </c>
      <c r="T135" s="184">
        <f t="shared" si="139"/>
        <v>0</v>
      </c>
      <c r="U135" s="184">
        <f t="shared" si="139"/>
        <v>0</v>
      </c>
      <c r="V135" s="184">
        <f t="shared" si="139"/>
        <v>0</v>
      </c>
      <c r="W135" s="184">
        <f t="shared" si="139"/>
        <v>0</v>
      </c>
      <c r="X135" s="184">
        <f t="shared" si="139"/>
        <v>0</v>
      </c>
      <c r="Y135" s="184">
        <f t="shared" si="139"/>
        <v>0</v>
      </c>
      <c r="Z135" s="184">
        <f t="shared" si="139"/>
        <v>0</v>
      </c>
      <c r="AA135" s="184">
        <f t="shared" si="139"/>
        <v>0</v>
      </c>
      <c r="AB135" s="184">
        <f t="shared" si="139"/>
        <v>0</v>
      </c>
      <c r="AC135" s="184">
        <f t="shared" si="139"/>
        <v>0</v>
      </c>
      <c r="AD135" s="184">
        <f t="shared" si="139"/>
        <v>0</v>
      </c>
      <c r="AE135" s="184">
        <f t="shared" si="139"/>
        <v>0</v>
      </c>
      <c r="AF135" s="184">
        <f t="shared" si="139"/>
        <v>0</v>
      </c>
      <c r="AG135" s="184">
        <f t="shared" si="139"/>
        <v>0</v>
      </c>
      <c r="AH135" s="184">
        <f t="shared" si="139"/>
        <v>0</v>
      </c>
    </row>
    <row r="136" spans="1:172" s="7" customFormat="1" ht="27" customHeight="1" thickBot="1">
      <c r="A136" s="27" t="s">
        <v>26</v>
      </c>
      <c r="B136" s="28" t="s">
        <v>208</v>
      </c>
      <c r="C136" s="29" t="s">
        <v>28</v>
      </c>
      <c r="D136" s="169"/>
      <c r="E136" s="157">
        <f>G136+Q136+W136+AC136</f>
        <v>0</v>
      </c>
      <c r="F136" s="157">
        <f t="shared" ref="F136" si="140">H136+R136+X136+AD136</f>
        <v>0</v>
      </c>
      <c r="G136" s="157">
        <f t="shared" ref="G136" si="141">I136+K136+M136+O136</f>
        <v>0</v>
      </c>
      <c r="H136" s="157">
        <f t="shared" si="134"/>
        <v>0</v>
      </c>
      <c r="I136" s="157"/>
      <c r="J136" s="157"/>
      <c r="K136" s="157"/>
      <c r="L136" s="157"/>
      <c r="M136" s="157"/>
      <c r="N136" s="157"/>
      <c r="O136" s="157"/>
      <c r="P136" s="157"/>
      <c r="Q136" s="195">
        <f>SUM(S136+U136)</f>
        <v>0</v>
      </c>
      <c r="R136" s="195">
        <f>SUM(T136+V136)</f>
        <v>0</v>
      </c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/>
    </row>
    <row r="137" spans="1:172" s="22" customFormat="1" ht="28.5" thickBot="1">
      <c r="A137" s="321" t="s">
        <v>209</v>
      </c>
      <c r="B137" s="322"/>
      <c r="C137" s="99"/>
      <c r="D137" s="166">
        <f>D138</f>
        <v>0</v>
      </c>
      <c r="E137" s="166">
        <f t="shared" ref="E137:AH139" si="142">E138</f>
        <v>0</v>
      </c>
      <c r="F137" s="166">
        <f t="shared" si="142"/>
        <v>0</v>
      </c>
      <c r="G137" s="166">
        <f t="shared" si="142"/>
        <v>0</v>
      </c>
      <c r="H137" s="166">
        <f t="shared" si="142"/>
        <v>0</v>
      </c>
      <c r="I137" s="166">
        <f t="shared" si="142"/>
        <v>0</v>
      </c>
      <c r="J137" s="166">
        <f t="shared" si="142"/>
        <v>0</v>
      </c>
      <c r="K137" s="166">
        <f t="shared" si="142"/>
        <v>0</v>
      </c>
      <c r="L137" s="166">
        <f t="shared" si="142"/>
        <v>0</v>
      </c>
      <c r="M137" s="166">
        <f t="shared" si="142"/>
        <v>0</v>
      </c>
      <c r="N137" s="166">
        <f t="shared" si="142"/>
        <v>0</v>
      </c>
      <c r="O137" s="166">
        <f t="shared" si="142"/>
        <v>0</v>
      </c>
      <c r="P137" s="166">
        <f t="shared" si="142"/>
        <v>0</v>
      </c>
      <c r="Q137" s="166">
        <f t="shared" si="142"/>
        <v>0</v>
      </c>
      <c r="R137" s="166">
        <f t="shared" si="142"/>
        <v>0</v>
      </c>
      <c r="S137" s="166">
        <f t="shared" si="142"/>
        <v>0</v>
      </c>
      <c r="T137" s="166">
        <f t="shared" si="142"/>
        <v>0</v>
      </c>
      <c r="U137" s="166">
        <f t="shared" si="142"/>
        <v>0</v>
      </c>
      <c r="V137" s="166">
        <f t="shared" si="142"/>
        <v>0</v>
      </c>
      <c r="W137" s="166">
        <f t="shared" si="142"/>
        <v>0</v>
      </c>
      <c r="X137" s="166">
        <f t="shared" si="142"/>
        <v>0</v>
      </c>
      <c r="Y137" s="166">
        <f t="shared" si="142"/>
        <v>0</v>
      </c>
      <c r="Z137" s="166">
        <f t="shared" si="142"/>
        <v>0</v>
      </c>
      <c r="AA137" s="166">
        <f t="shared" si="142"/>
        <v>0</v>
      </c>
      <c r="AB137" s="166">
        <f t="shared" si="142"/>
        <v>0</v>
      </c>
      <c r="AC137" s="166">
        <f t="shared" si="142"/>
        <v>0</v>
      </c>
      <c r="AD137" s="166">
        <f t="shared" si="142"/>
        <v>0</v>
      </c>
      <c r="AE137" s="166">
        <f t="shared" si="142"/>
        <v>0</v>
      </c>
      <c r="AF137" s="166">
        <f t="shared" si="142"/>
        <v>0</v>
      </c>
      <c r="AG137" s="166">
        <f t="shared" si="142"/>
        <v>0</v>
      </c>
      <c r="AH137" s="166">
        <f t="shared" si="142"/>
        <v>0</v>
      </c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</row>
    <row r="138" spans="1:172" s="22" customFormat="1" ht="28.5" thickBot="1">
      <c r="A138" s="321" t="s">
        <v>210</v>
      </c>
      <c r="B138" s="322"/>
      <c r="C138" s="99"/>
      <c r="D138" s="166">
        <f>D139</f>
        <v>0</v>
      </c>
      <c r="E138" s="166">
        <f t="shared" si="142"/>
        <v>0</v>
      </c>
      <c r="F138" s="166">
        <f t="shared" si="142"/>
        <v>0</v>
      </c>
      <c r="G138" s="166">
        <f t="shared" si="142"/>
        <v>0</v>
      </c>
      <c r="H138" s="166">
        <f t="shared" si="142"/>
        <v>0</v>
      </c>
      <c r="I138" s="166">
        <f t="shared" si="142"/>
        <v>0</v>
      </c>
      <c r="J138" s="166">
        <f t="shared" si="142"/>
        <v>0</v>
      </c>
      <c r="K138" s="166">
        <f t="shared" si="142"/>
        <v>0</v>
      </c>
      <c r="L138" s="166">
        <f t="shared" si="142"/>
        <v>0</v>
      </c>
      <c r="M138" s="166">
        <f t="shared" si="142"/>
        <v>0</v>
      </c>
      <c r="N138" s="166">
        <f t="shared" si="142"/>
        <v>0</v>
      </c>
      <c r="O138" s="166">
        <f t="shared" si="142"/>
        <v>0</v>
      </c>
      <c r="P138" s="166">
        <f t="shared" si="142"/>
        <v>0</v>
      </c>
      <c r="Q138" s="166">
        <f t="shared" si="142"/>
        <v>0</v>
      </c>
      <c r="R138" s="166">
        <f t="shared" si="142"/>
        <v>0</v>
      </c>
      <c r="S138" s="166">
        <f t="shared" si="142"/>
        <v>0</v>
      </c>
      <c r="T138" s="166">
        <f t="shared" si="142"/>
        <v>0</v>
      </c>
      <c r="U138" s="166">
        <f t="shared" si="142"/>
        <v>0</v>
      </c>
      <c r="V138" s="166">
        <f t="shared" si="142"/>
        <v>0</v>
      </c>
      <c r="W138" s="166">
        <f t="shared" si="142"/>
        <v>0</v>
      </c>
      <c r="X138" s="166">
        <f t="shared" si="142"/>
        <v>0</v>
      </c>
      <c r="Y138" s="166">
        <f t="shared" si="142"/>
        <v>0</v>
      </c>
      <c r="Z138" s="166">
        <f t="shared" si="142"/>
        <v>0</v>
      </c>
      <c r="AA138" s="166">
        <f t="shared" si="142"/>
        <v>0</v>
      </c>
      <c r="AB138" s="166">
        <f t="shared" si="142"/>
        <v>0</v>
      </c>
      <c r="AC138" s="166">
        <f t="shared" si="142"/>
        <v>0</v>
      </c>
      <c r="AD138" s="166">
        <f t="shared" si="142"/>
        <v>0</v>
      </c>
      <c r="AE138" s="166">
        <f t="shared" si="142"/>
        <v>0</v>
      </c>
      <c r="AF138" s="166">
        <f t="shared" si="142"/>
        <v>0</v>
      </c>
      <c r="AG138" s="166">
        <f t="shared" si="142"/>
        <v>0</v>
      </c>
      <c r="AH138" s="166">
        <f t="shared" si="142"/>
        <v>0</v>
      </c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</row>
    <row r="139" spans="1:172" s="22" customFormat="1" ht="26.45" customHeight="1">
      <c r="A139" s="323" t="s">
        <v>211</v>
      </c>
      <c r="B139" s="324"/>
      <c r="C139" s="100"/>
      <c r="D139" s="214">
        <f>D140</f>
        <v>0</v>
      </c>
      <c r="E139" s="214">
        <f t="shared" si="142"/>
        <v>0</v>
      </c>
      <c r="F139" s="214">
        <f t="shared" si="142"/>
        <v>0</v>
      </c>
      <c r="G139" s="214">
        <f t="shared" si="142"/>
        <v>0</v>
      </c>
      <c r="H139" s="214">
        <f t="shared" si="142"/>
        <v>0</v>
      </c>
      <c r="I139" s="214">
        <f t="shared" si="142"/>
        <v>0</v>
      </c>
      <c r="J139" s="214">
        <f t="shared" si="142"/>
        <v>0</v>
      </c>
      <c r="K139" s="214">
        <f t="shared" si="142"/>
        <v>0</v>
      </c>
      <c r="L139" s="214">
        <f t="shared" si="142"/>
        <v>0</v>
      </c>
      <c r="M139" s="214">
        <f t="shared" si="142"/>
        <v>0</v>
      </c>
      <c r="N139" s="214">
        <f t="shared" si="142"/>
        <v>0</v>
      </c>
      <c r="O139" s="214">
        <f t="shared" si="142"/>
        <v>0</v>
      </c>
      <c r="P139" s="214">
        <f t="shared" si="142"/>
        <v>0</v>
      </c>
      <c r="Q139" s="214">
        <f t="shared" si="142"/>
        <v>0</v>
      </c>
      <c r="R139" s="214">
        <f t="shared" si="142"/>
        <v>0</v>
      </c>
      <c r="S139" s="214">
        <f t="shared" si="142"/>
        <v>0</v>
      </c>
      <c r="T139" s="214">
        <f t="shared" si="142"/>
        <v>0</v>
      </c>
      <c r="U139" s="214">
        <f t="shared" si="142"/>
        <v>0</v>
      </c>
      <c r="V139" s="214">
        <f t="shared" si="142"/>
        <v>0</v>
      </c>
      <c r="W139" s="214">
        <f t="shared" si="142"/>
        <v>0</v>
      </c>
      <c r="X139" s="214">
        <f t="shared" si="142"/>
        <v>0</v>
      </c>
      <c r="Y139" s="214">
        <f t="shared" si="142"/>
        <v>0</v>
      </c>
      <c r="Z139" s="214">
        <f t="shared" si="142"/>
        <v>0</v>
      </c>
      <c r="AA139" s="214">
        <f t="shared" si="142"/>
        <v>0</v>
      </c>
      <c r="AB139" s="214">
        <f t="shared" si="142"/>
        <v>0</v>
      </c>
      <c r="AC139" s="214">
        <f t="shared" si="142"/>
        <v>0</v>
      </c>
      <c r="AD139" s="214">
        <f t="shared" si="142"/>
        <v>0</v>
      </c>
      <c r="AE139" s="214">
        <f t="shared" si="142"/>
        <v>0</v>
      </c>
      <c r="AF139" s="214">
        <f t="shared" si="142"/>
        <v>0</v>
      </c>
      <c r="AG139" s="214">
        <f t="shared" si="142"/>
        <v>0</v>
      </c>
      <c r="AH139" s="214">
        <f t="shared" si="142"/>
        <v>0</v>
      </c>
    </row>
    <row r="140" spans="1:172" s="103" customFormat="1">
      <c r="A140" s="325" t="s">
        <v>212</v>
      </c>
      <c r="B140" s="326"/>
      <c r="C140" s="101"/>
      <c r="D140" s="183">
        <f>D141+D142</f>
        <v>0</v>
      </c>
      <c r="E140" s="183">
        <f t="shared" ref="E140:AH140" si="143">E141+E142</f>
        <v>0</v>
      </c>
      <c r="F140" s="183">
        <f t="shared" si="143"/>
        <v>0</v>
      </c>
      <c r="G140" s="183">
        <f t="shared" si="143"/>
        <v>0</v>
      </c>
      <c r="H140" s="183">
        <f t="shared" si="143"/>
        <v>0</v>
      </c>
      <c r="I140" s="183">
        <f t="shared" si="143"/>
        <v>0</v>
      </c>
      <c r="J140" s="183">
        <f t="shared" si="143"/>
        <v>0</v>
      </c>
      <c r="K140" s="183">
        <f t="shared" si="143"/>
        <v>0</v>
      </c>
      <c r="L140" s="183">
        <f t="shared" si="143"/>
        <v>0</v>
      </c>
      <c r="M140" s="183">
        <f t="shared" si="143"/>
        <v>0</v>
      </c>
      <c r="N140" s="183">
        <f t="shared" si="143"/>
        <v>0</v>
      </c>
      <c r="O140" s="183">
        <f t="shared" si="143"/>
        <v>0</v>
      </c>
      <c r="P140" s="183">
        <f t="shared" si="143"/>
        <v>0</v>
      </c>
      <c r="Q140" s="183">
        <f t="shared" si="143"/>
        <v>0</v>
      </c>
      <c r="R140" s="183">
        <f t="shared" si="143"/>
        <v>0</v>
      </c>
      <c r="S140" s="183">
        <f t="shared" si="143"/>
        <v>0</v>
      </c>
      <c r="T140" s="183">
        <f t="shared" si="143"/>
        <v>0</v>
      </c>
      <c r="U140" s="183">
        <f t="shared" si="143"/>
        <v>0</v>
      </c>
      <c r="V140" s="183">
        <f t="shared" si="143"/>
        <v>0</v>
      </c>
      <c r="W140" s="183">
        <f t="shared" si="143"/>
        <v>0</v>
      </c>
      <c r="X140" s="183">
        <f t="shared" si="143"/>
        <v>0</v>
      </c>
      <c r="Y140" s="183">
        <f t="shared" si="143"/>
        <v>0</v>
      </c>
      <c r="Z140" s="183">
        <f t="shared" si="143"/>
        <v>0</v>
      </c>
      <c r="AA140" s="183">
        <f t="shared" si="143"/>
        <v>0</v>
      </c>
      <c r="AB140" s="183">
        <f t="shared" si="143"/>
        <v>0</v>
      </c>
      <c r="AC140" s="183">
        <f t="shared" si="143"/>
        <v>0</v>
      </c>
      <c r="AD140" s="183">
        <f t="shared" si="143"/>
        <v>0</v>
      </c>
      <c r="AE140" s="183">
        <f t="shared" si="143"/>
        <v>0</v>
      </c>
      <c r="AF140" s="183">
        <f t="shared" si="143"/>
        <v>0</v>
      </c>
      <c r="AG140" s="183">
        <f t="shared" si="143"/>
        <v>0</v>
      </c>
      <c r="AH140" s="183">
        <f t="shared" si="143"/>
        <v>0</v>
      </c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102"/>
      <c r="CA140" s="102"/>
      <c r="CB140" s="102"/>
      <c r="CC140" s="102"/>
      <c r="CD140" s="102"/>
      <c r="CE140" s="102"/>
      <c r="CF140" s="102"/>
      <c r="CG140" s="102"/>
      <c r="CH140" s="102"/>
      <c r="CI140" s="102"/>
      <c r="CJ140" s="102"/>
      <c r="CK140" s="102"/>
      <c r="CL140" s="102"/>
      <c r="CM140" s="102"/>
      <c r="CN140" s="102"/>
      <c r="CO140" s="102"/>
      <c r="CP140" s="102"/>
      <c r="CQ140" s="102"/>
      <c r="CR140" s="102"/>
      <c r="CS140" s="102"/>
      <c r="CT140" s="102"/>
      <c r="CU140" s="102"/>
      <c r="CV140" s="102"/>
      <c r="CW140" s="102"/>
      <c r="CX140" s="102"/>
      <c r="CY140" s="102"/>
      <c r="CZ140" s="102"/>
      <c r="DA140" s="102"/>
      <c r="DB140" s="102"/>
      <c r="DC140" s="102"/>
      <c r="DD140" s="102"/>
      <c r="DE140" s="102"/>
      <c r="DF140" s="102"/>
      <c r="DG140" s="102"/>
      <c r="DH140" s="102"/>
      <c r="DI140" s="102"/>
      <c r="DJ140" s="102"/>
      <c r="DK140" s="102"/>
      <c r="DL140" s="102"/>
      <c r="DM140" s="102"/>
      <c r="DN140" s="102"/>
      <c r="DO140" s="102"/>
      <c r="DP140" s="102"/>
      <c r="DQ140" s="102"/>
      <c r="DR140" s="102"/>
      <c r="DS140" s="102"/>
      <c r="DT140" s="102"/>
      <c r="DU140" s="102"/>
      <c r="DV140" s="102"/>
      <c r="DW140" s="102"/>
      <c r="DX140" s="102"/>
      <c r="DY140" s="102"/>
      <c r="DZ140" s="102"/>
      <c r="EA140" s="102"/>
      <c r="EB140" s="102"/>
      <c r="EC140" s="102"/>
      <c r="ED140" s="102"/>
      <c r="EE140" s="102"/>
      <c r="EF140" s="102"/>
      <c r="EG140" s="102"/>
      <c r="EH140" s="102"/>
      <c r="EI140" s="102"/>
      <c r="EJ140" s="102"/>
      <c r="EK140" s="102"/>
      <c r="EL140" s="102"/>
      <c r="EM140" s="102"/>
      <c r="EN140" s="102"/>
      <c r="EO140" s="102"/>
      <c r="EP140" s="102"/>
      <c r="EQ140" s="102"/>
      <c r="ER140" s="102"/>
      <c r="ES140" s="102"/>
      <c r="ET140" s="102"/>
      <c r="EU140" s="102"/>
      <c r="EV140" s="102"/>
      <c r="EW140" s="102"/>
      <c r="EX140" s="102"/>
      <c r="EY140" s="102"/>
      <c r="EZ140" s="102"/>
      <c r="FA140" s="102"/>
      <c r="FB140" s="102"/>
      <c r="FC140" s="102"/>
      <c r="FD140" s="102"/>
      <c r="FE140" s="102"/>
      <c r="FF140" s="102"/>
      <c r="FG140" s="102"/>
      <c r="FH140" s="102"/>
      <c r="FI140" s="102"/>
      <c r="FJ140" s="102"/>
      <c r="FK140" s="102"/>
      <c r="FL140" s="102"/>
      <c r="FM140" s="102"/>
      <c r="FN140" s="102"/>
      <c r="FO140" s="102"/>
      <c r="FP140" s="102"/>
    </row>
    <row r="141" spans="1:172" s="43" customFormat="1">
      <c r="A141" s="104" t="s">
        <v>213</v>
      </c>
      <c r="B141" s="36" t="s">
        <v>214</v>
      </c>
      <c r="C141" s="35" t="s">
        <v>47</v>
      </c>
      <c r="D141" s="174"/>
      <c r="E141" s="157">
        <f>G141+Q141+W141+AC141</f>
        <v>0</v>
      </c>
      <c r="F141" s="157">
        <f>H141+R141+X141+AD141</f>
        <v>0</v>
      </c>
      <c r="G141" s="157">
        <f t="shared" ref="G141:H142" si="144">I141+K141+M141+O141</f>
        <v>0</v>
      </c>
      <c r="H141" s="157">
        <f t="shared" si="144"/>
        <v>0</v>
      </c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</row>
    <row r="142" spans="1:172" s="7" customFormat="1">
      <c r="A142" s="105" t="s">
        <v>215</v>
      </c>
      <c r="B142" s="106" t="s">
        <v>216</v>
      </c>
      <c r="C142" s="107" t="s">
        <v>47</v>
      </c>
      <c r="D142" s="215"/>
      <c r="E142" s="157">
        <f t="shared" ref="E142:F142" si="145">G142+Q142+W142+AC142</f>
        <v>0</v>
      </c>
      <c r="F142" s="157">
        <f t="shared" si="145"/>
        <v>0</v>
      </c>
      <c r="G142" s="157">
        <f t="shared" si="144"/>
        <v>0</v>
      </c>
      <c r="H142" s="157">
        <f>J142+L142+N142+P142</f>
        <v>0</v>
      </c>
      <c r="I142" s="216"/>
      <c r="J142" s="216"/>
      <c r="K142" s="216"/>
      <c r="L142" s="216"/>
      <c r="M142" s="217"/>
      <c r="N142" s="217"/>
      <c r="O142" s="215"/>
      <c r="P142" s="217"/>
      <c r="Q142" s="217"/>
      <c r="R142" s="217"/>
      <c r="S142" s="217"/>
      <c r="T142" s="215"/>
      <c r="U142" s="217"/>
      <c r="V142" s="217"/>
      <c r="W142" s="215"/>
      <c r="X142" s="217"/>
      <c r="Y142" s="217"/>
      <c r="Z142" s="217"/>
      <c r="AA142" s="217"/>
      <c r="AB142" s="217"/>
      <c r="AC142" s="217"/>
      <c r="AD142" s="217"/>
      <c r="AE142" s="217"/>
      <c r="AF142" s="217"/>
      <c r="AG142" s="217"/>
      <c r="AH142" s="217"/>
    </row>
    <row r="143" spans="1:172">
      <c r="K143" s="112"/>
      <c r="L143" s="113"/>
      <c r="M143" s="112"/>
      <c r="N143" s="112"/>
      <c r="O143" s="112"/>
      <c r="P143" s="112"/>
      <c r="Q143" s="113"/>
      <c r="R143" s="112"/>
      <c r="S143" s="112"/>
      <c r="T143" s="112"/>
      <c r="U143" s="113"/>
      <c r="V143" s="112"/>
      <c r="W143" s="112"/>
      <c r="X143" s="112"/>
      <c r="Y143" s="112"/>
      <c r="Z143" s="112"/>
      <c r="AA143" s="112"/>
      <c r="AB143" s="112"/>
      <c r="AC143" s="112"/>
      <c r="AD143" s="112"/>
    </row>
    <row r="144" spans="1:172">
      <c r="K144" s="112"/>
      <c r="L144" s="115"/>
      <c r="M144" s="112"/>
      <c r="N144" s="112"/>
      <c r="O144" s="112"/>
      <c r="P144" s="112"/>
      <c r="Q144" s="115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</row>
    <row r="145" spans="11:30">
      <c r="K145" s="112"/>
      <c r="M145" s="112"/>
      <c r="N145" s="112"/>
      <c r="O145" s="112"/>
      <c r="P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</row>
    <row r="146" spans="11:30">
      <c r="K146" s="112"/>
      <c r="L146" s="115"/>
      <c r="M146" s="112"/>
      <c r="N146" s="112"/>
      <c r="O146" s="112"/>
      <c r="P146" s="112"/>
      <c r="Q146" s="115"/>
      <c r="R146" s="112"/>
      <c r="S146" s="112"/>
      <c r="T146" s="112"/>
      <c r="U146" s="115"/>
      <c r="V146" s="112"/>
      <c r="W146" s="112"/>
      <c r="X146" s="115"/>
      <c r="Y146" s="115"/>
      <c r="Z146" s="115"/>
      <c r="AA146" s="115"/>
      <c r="AB146" s="115"/>
      <c r="AC146" s="115"/>
      <c r="AD146" s="115"/>
    </row>
    <row r="147" spans="11:30">
      <c r="K147" s="112"/>
      <c r="M147" s="112"/>
      <c r="N147" s="112"/>
      <c r="O147" s="112"/>
      <c r="P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</row>
    <row r="148" spans="11:30">
      <c r="K148" s="112"/>
      <c r="M148" s="112"/>
      <c r="N148" s="112"/>
      <c r="O148" s="112"/>
      <c r="P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</row>
    <row r="149" spans="11:30">
      <c r="K149" s="112"/>
      <c r="L149" s="115"/>
      <c r="M149" s="112"/>
      <c r="N149" s="112"/>
      <c r="O149" s="112"/>
      <c r="P149" s="112"/>
      <c r="Q149" s="115"/>
      <c r="R149" s="112"/>
      <c r="S149" s="112"/>
      <c r="T149" s="112"/>
      <c r="U149" s="115"/>
      <c r="V149" s="112"/>
      <c r="W149" s="112"/>
      <c r="X149" s="115"/>
      <c r="Y149" s="115"/>
      <c r="Z149" s="115"/>
      <c r="AA149" s="115"/>
      <c r="AB149" s="115"/>
      <c r="AC149" s="115"/>
      <c r="AD149" s="115"/>
    </row>
    <row r="150" spans="11:30">
      <c r="K150" s="112"/>
      <c r="M150" s="112"/>
      <c r="N150" s="112"/>
      <c r="O150" s="112"/>
      <c r="P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</row>
  </sheetData>
  <autoFilter ref="A10:AH143" xr:uid="{00000000-0009-0000-0000-000001000000}"/>
  <mergeCells count="57">
    <mergeCell ref="A1:AJ1"/>
    <mergeCell ref="A2:AJ2"/>
    <mergeCell ref="A7:B9"/>
    <mergeCell ref="C7:C9"/>
    <mergeCell ref="D7:F7"/>
    <mergeCell ref="G7:P7"/>
    <mergeCell ref="Q7:V7"/>
    <mergeCell ref="W7:AA7"/>
    <mergeCell ref="AC7:AH7"/>
    <mergeCell ref="D8:D9"/>
    <mergeCell ref="AA8:AB8"/>
    <mergeCell ref="AC8:AD8"/>
    <mergeCell ref="AE8:AF8"/>
    <mergeCell ref="AG8:AH8"/>
    <mergeCell ref="W8:X8"/>
    <mergeCell ref="Y8:Z8"/>
    <mergeCell ref="A13:B13"/>
    <mergeCell ref="O8:P8"/>
    <mergeCell ref="Q8:R8"/>
    <mergeCell ref="S8:T8"/>
    <mergeCell ref="U8:V8"/>
    <mergeCell ref="E8:E9"/>
    <mergeCell ref="F8:F9"/>
    <mergeCell ref="G8:H8"/>
    <mergeCell ref="I8:J8"/>
    <mergeCell ref="K8:L8"/>
    <mergeCell ref="M8:N8"/>
    <mergeCell ref="A11:B11"/>
    <mergeCell ref="A68:B68"/>
    <mergeCell ref="A15:B15"/>
    <mergeCell ref="A16:B16"/>
    <mergeCell ref="A17:B17"/>
    <mergeCell ref="A18:B18"/>
    <mergeCell ref="A21:B21"/>
    <mergeCell ref="A25:B25"/>
    <mergeCell ref="A29:B29"/>
    <mergeCell ref="A42:B42"/>
    <mergeCell ref="A49:B49"/>
    <mergeCell ref="A63:B63"/>
    <mergeCell ref="A67:B67"/>
    <mergeCell ref="A126:B126"/>
    <mergeCell ref="A69:B69"/>
    <mergeCell ref="A70:B70"/>
    <mergeCell ref="A78:B78"/>
    <mergeCell ref="A85:B85"/>
    <mergeCell ref="A94:B94"/>
    <mergeCell ref="A100:B100"/>
    <mergeCell ref="A107:B107"/>
    <mergeCell ref="A113:B113"/>
    <mergeCell ref="A119:B119"/>
    <mergeCell ref="A121:B121"/>
    <mergeCell ref="A125:B125"/>
    <mergeCell ref="A135:B135"/>
    <mergeCell ref="A137:B137"/>
    <mergeCell ref="A138:B138"/>
    <mergeCell ref="A139:B139"/>
    <mergeCell ref="A140:B140"/>
  </mergeCells>
  <printOptions horizontalCentered="1"/>
  <pageMargins left="0" right="0" top="0.47244094488188981" bottom="7.874015748031496E-2" header="0.15748031496062992" footer="0.15748031496062992"/>
  <pageSetup paperSize="5" scale="30" orientation="landscape" r:id="rId1"/>
  <headerFooter alignWithMargins="0"/>
  <rowBreaks count="2" manualBreakCount="2">
    <brk id="66" max="33" man="1"/>
    <brk id="120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0A50D-5BE2-4B50-8DBB-181B75AFDFAB}">
  <sheetPr>
    <tabColor theme="7" tint="0.79998168889431442"/>
    <pageSetUpPr fitToPage="1"/>
  </sheetPr>
  <dimension ref="A1:J20"/>
  <sheetViews>
    <sheetView view="pageBreakPreview" zoomScale="130" zoomScaleNormal="70" zoomScaleSheetLayoutView="130" workbookViewId="0">
      <selection activeCell="D11" sqref="D11"/>
    </sheetView>
  </sheetViews>
  <sheetFormatPr defaultRowHeight="21.75"/>
  <cols>
    <col min="1" max="1" width="15.75" style="251" bestFit="1" customWidth="1"/>
    <col min="2" max="2" width="44" style="251" customWidth="1"/>
    <col min="3" max="3" width="16.5" style="251" customWidth="1"/>
    <col min="4" max="4" width="27.125" style="251" customWidth="1"/>
    <col min="5" max="5" width="24.75" style="251" customWidth="1"/>
    <col min="6" max="7" width="12.75" style="251" hidden="1" customWidth="1"/>
    <col min="8" max="8" width="25" style="251" bestFit="1" customWidth="1"/>
    <col min="9" max="9" width="24.375" style="253" bestFit="1" customWidth="1"/>
    <col min="10" max="10" width="28" style="251" bestFit="1" customWidth="1"/>
    <col min="11" max="256" width="9" style="251"/>
    <col min="257" max="257" width="10.875" style="251" bestFit="1" customWidth="1"/>
    <col min="258" max="258" width="29" style="251" bestFit="1" customWidth="1"/>
    <col min="259" max="259" width="11.125" style="251" customWidth="1"/>
    <col min="260" max="260" width="15.875" style="251" customWidth="1"/>
    <col min="261" max="261" width="16.375" style="251" customWidth="1"/>
    <col min="262" max="263" width="0" style="251" hidden="1" customWidth="1"/>
    <col min="264" max="264" width="17.25" style="251" customWidth="1"/>
    <col min="265" max="265" width="16.75" style="251" customWidth="1"/>
    <col min="266" max="266" width="21.75" style="251" customWidth="1"/>
    <col min="267" max="512" width="9" style="251"/>
    <col min="513" max="513" width="10.875" style="251" bestFit="1" customWidth="1"/>
    <col min="514" max="514" width="29" style="251" bestFit="1" customWidth="1"/>
    <col min="515" max="515" width="11.125" style="251" customWidth="1"/>
    <col min="516" max="516" width="15.875" style="251" customWidth="1"/>
    <col min="517" max="517" width="16.375" style="251" customWidth="1"/>
    <col min="518" max="519" width="0" style="251" hidden="1" customWidth="1"/>
    <col min="520" max="520" width="17.25" style="251" customWidth="1"/>
    <col min="521" max="521" width="16.75" style="251" customWidth="1"/>
    <col min="522" max="522" width="21.75" style="251" customWidth="1"/>
    <col min="523" max="768" width="9" style="251"/>
    <col min="769" max="769" width="10.875" style="251" bestFit="1" customWidth="1"/>
    <col min="770" max="770" width="29" style="251" bestFit="1" customWidth="1"/>
    <col min="771" max="771" width="11.125" style="251" customWidth="1"/>
    <col min="772" max="772" width="15.875" style="251" customWidth="1"/>
    <col min="773" max="773" width="16.375" style="251" customWidth="1"/>
    <col min="774" max="775" width="0" style="251" hidden="1" customWidth="1"/>
    <col min="776" max="776" width="17.25" style="251" customWidth="1"/>
    <col min="777" max="777" width="16.75" style="251" customWidth="1"/>
    <col min="778" max="778" width="21.75" style="251" customWidth="1"/>
    <col min="779" max="1024" width="9" style="251"/>
    <col min="1025" max="1025" width="10.875" style="251" bestFit="1" customWidth="1"/>
    <col min="1026" max="1026" width="29" style="251" bestFit="1" customWidth="1"/>
    <col min="1027" max="1027" width="11.125" style="251" customWidth="1"/>
    <col min="1028" max="1028" width="15.875" style="251" customWidth="1"/>
    <col min="1029" max="1029" width="16.375" style="251" customWidth="1"/>
    <col min="1030" max="1031" width="0" style="251" hidden="1" customWidth="1"/>
    <col min="1032" max="1032" width="17.25" style="251" customWidth="1"/>
    <col min="1033" max="1033" width="16.75" style="251" customWidth="1"/>
    <col min="1034" max="1034" width="21.75" style="251" customWidth="1"/>
    <col min="1035" max="1280" width="9" style="251"/>
    <col min="1281" max="1281" width="10.875" style="251" bestFit="1" customWidth="1"/>
    <col min="1282" max="1282" width="29" style="251" bestFit="1" customWidth="1"/>
    <col min="1283" max="1283" width="11.125" style="251" customWidth="1"/>
    <col min="1284" max="1284" width="15.875" style="251" customWidth="1"/>
    <col min="1285" max="1285" width="16.375" style="251" customWidth="1"/>
    <col min="1286" max="1287" width="0" style="251" hidden="1" customWidth="1"/>
    <col min="1288" max="1288" width="17.25" style="251" customWidth="1"/>
    <col min="1289" max="1289" width="16.75" style="251" customWidth="1"/>
    <col min="1290" max="1290" width="21.75" style="251" customWidth="1"/>
    <col min="1291" max="1536" width="9" style="251"/>
    <col min="1537" max="1537" width="10.875" style="251" bestFit="1" customWidth="1"/>
    <col min="1538" max="1538" width="29" style="251" bestFit="1" customWidth="1"/>
    <col min="1539" max="1539" width="11.125" style="251" customWidth="1"/>
    <col min="1540" max="1540" width="15.875" style="251" customWidth="1"/>
    <col min="1541" max="1541" width="16.375" style="251" customWidth="1"/>
    <col min="1542" max="1543" width="0" style="251" hidden="1" customWidth="1"/>
    <col min="1544" max="1544" width="17.25" style="251" customWidth="1"/>
    <col min="1545" max="1545" width="16.75" style="251" customWidth="1"/>
    <col min="1546" max="1546" width="21.75" style="251" customWidth="1"/>
    <col min="1547" max="1792" width="9" style="251"/>
    <col min="1793" max="1793" width="10.875" style="251" bestFit="1" customWidth="1"/>
    <col min="1794" max="1794" width="29" style="251" bestFit="1" customWidth="1"/>
    <col min="1795" max="1795" width="11.125" style="251" customWidth="1"/>
    <col min="1796" max="1796" width="15.875" style="251" customWidth="1"/>
    <col min="1797" max="1797" width="16.375" style="251" customWidth="1"/>
    <col min="1798" max="1799" width="0" style="251" hidden="1" customWidth="1"/>
    <col min="1800" max="1800" width="17.25" style="251" customWidth="1"/>
    <col min="1801" max="1801" width="16.75" style="251" customWidth="1"/>
    <col min="1802" max="1802" width="21.75" style="251" customWidth="1"/>
    <col min="1803" max="2048" width="9" style="251"/>
    <col min="2049" max="2049" width="10.875" style="251" bestFit="1" customWidth="1"/>
    <col min="2050" max="2050" width="29" style="251" bestFit="1" customWidth="1"/>
    <col min="2051" max="2051" width="11.125" style="251" customWidth="1"/>
    <col min="2052" max="2052" width="15.875" style="251" customWidth="1"/>
    <col min="2053" max="2053" width="16.375" style="251" customWidth="1"/>
    <col min="2054" max="2055" width="0" style="251" hidden="1" customWidth="1"/>
    <col min="2056" max="2056" width="17.25" style="251" customWidth="1"/>
    <col min="2057" max="2057" width="16.75" style="251" customWidth="1"/>
    <col min="2058" max="2058" width="21.75" style="251" customWidth="1"/>
    <col min="2059" max="2304" width="9" style="251"/>
    <col min="2305" max="2305" width="10.875" style="251" bestFit="1" customWidth="1"/>
    <col min="2306" max="2306" width="29" style="251" bestFit="1" customWidth="1"/>
    <col min="2307" max="2307" width="11.125" style="251" customWidth="1"/>
    <col min="2308" max="2308" width="15.875" style="251" customWidth="1"/>
    <col min="2309" max="2309" width="16.375" style="251" customWidth="1"/>
    <col min="2310" max="2311" width="0" style="251" hidden="1" customWidth="1"/>
    <col min="2312" max="2312" width="17.25" style="251" customWidth="1"/>
    <col min="2313" max="2313" width="16.75" style="251" customWidth="1"/>
    <col min="2314" max="2314" width="21.75" style="251" customWidth="1"/>
    <col min="2315" max="2560" width="9" style="251"/>
    <col min="2561" max="2561" width="10.875" style="251" bestFit="1" customWidth="1"/>
    <col min="2562" max="2562" width="29" style="251" bestFit="1" customWidth="1"/>
    <col min="2563" max="2563" width="11.125" style="251" customWidth="1"/>
    <col min="2564" max="2564" width="15.875" style="251" customWidth="1"/>
    <col min="2565" max="2565" width="16.375" style="251" customWidth="1"/>
    <col min="2566" max="2567" width="0" style="251" hidden="1" customWidth="1"/>
    <col min="2568" max="2568" width="17.25" style="251" customWidth="1"/>
    <col min="2569" max="2569" width="16.75" style="251" customWidth="1"/>
    <col min="2570" max="2570" width="21.75" style="251" customWidth="1"/>
    <col min="2571" max="2816" width="9" style="251"/>
    <col min="2817" max="2817" width="10.875" style="251" bestFit="1" customWidth="1"/>
    <col min="2818" max="2818" width="29" style="251" bestFit="1" customWidth="1"/>
    <col min="2819" max="2819" width="11.125" style="251" customWidth="1"/>
    <col min="2820" max="2820" width="15.875" style="251" customWidth="1"/>
    <col min="2821" max="2821" width="16.375" style="251" customWidth="1"/>
    <col min="2822" max="2823" width="0" style="251" hidden="1" customWidth="1"/>
    <col min="2824" max="2824" width="17.25" style="251" customWidth="1"/>
    <col min="2825" max="2825" width="16.75" style="251" customWidth="1"/>
    <col min="2826" max="2826" width="21.75" style="251" customWidth="1"/>
    <col min="2827" max="3072" width="9" style="251"/>
    <col min="3073" max="3073" width="10.875" style="251" bestFit="1" customWidth="1"/>
    <col min="3074" max="3074" width="29" style="251" bestFit="1" customWidth="1"/>
    <col min="3075" max="3075" width="11.125" style="251" customWidth="1"/>
    <col min="3076" max="3076" width="15.875" style="251" customWidth="1"/>
    <col min="3077" max="3077" width="16.375" style="251" customWidth="1"/>
    <col min="3078" max="3079" width="0" style="251" hidden="1" customWidth="1"/>
    <col min="3080" max="3080" width="17.25" style="251" customWidth="1"/>
    <col min="3081" max="3081" width="16.75" style="251" customWidth="1"/>
    <col min="3082" max="3082" width="21.75" style="251" customWidth="1"/>
    <col min="3083" max="3328" width="9" style="251"/>
    <col min="3329" max="3329" width="10.875" style="251" bestFit="1" customWidth="1"/>
    <col min="3330" max="3330" width="29" style="251" bestFit="1" customWidth="1"/>
    <col min="3331" max="3331" width="11.125" style="251" customWidth="1"/>
    <col min="3332" max="3332" width="15.875" style="251" customWidth="1"/>
    <col min="3333" max="3333" width="16.375" style="251" customWidth="1"/>
    <col min="3334" max="3335" width="0" style="251" hidden="1" customWidth="1"/>
    <col min="3336" max="3336" width="17.25" style="251" customWidth="1"/>
    <col min="3337" max="3337" width="16.75" style="251" customWidth="1"/>
    <col min="3338" max="3338" width="21.75" style="251" customWidth="1"/>
    <col min="3339" max="3584" width="9" style="251"/>
    <col min="3585" max="3585" width="10.875" style="251" bestFit="1" customWidth="1"/>
    <col min="3586" max="3586" width="29" style="251" bestFit="1" customWidth="1"/>
    <col min="3587" max="3587" width="11.125" style="251" customWidth="1"/>
    <col min="3588" max="3588" width="15.875" style="251" customWidth="1"/>
    <col min="3589" max="3589" width="16.375" style="251" customWidth="1"/>
    <col min="3590" max="3591" width="0" style="251" hidden="1" customWidth="1"/>
    <col min="3592" max="3592" width="17.25" style="251" customWidth="1"/>
    <col min="3593" max="3593" width="16.75" style="251" customWidth="1"/>
    <col min="3594" max="3594" width="21.75" style="251" customWidth="1"/>
    <col min="3595" max="3840" width="9" style="251"/>
    <col min="3841" max="3841" width="10.875" style="251" bestFit="1" customWidth="1"/>
    <col min="3842" max="3842" width="29" style="251" bestFit="1" customWidth="1"/>
    <col min="3843" max="3843" width="11.125" style="251" customWidth="1"/>
    <col min="3844" max="3844" width="15.875" style="251" customWidth="1"/>
    <col min="3845" max="3845" width="16.375" style="251" customWidth="1"/>
    <col min="3846" max="3847" width="0" style="251" hidden="1" customWidth="1"/>
    <col min="3848" max="3848" width="17.25" style="251" customWidth="1"/>
    <col min="3849" max="3849" width="16.75" style="251" customWidth="1"/>
    <col min="3850" max="3850" width="21.75" style="251" customWidth="1"/>
    <col min="3851" max="4096" width="9" style="251"/>
    <col min="4097" max="4097" width="10.875" style="251" bestFit="1" customWidth="1"/>
    <col min="4098" max="4098" width="29" style="251" bestFit="1" customWidth="1"/>
    <col min="4099" max="4099" width="11.125" style="251" customWidth="1"/>
    <col min="4100" max="4100" width="15.875" style="251" customWidth="1"/>
    <col min="4101" max="4101" width="16.375" style="251" customWidth="1"/>
    <col min="4102" max="4103" width="0" style="251" hidden="1" customWidth="1"/>
    <col min="4104" max="4104" width="17.25" style="251" customWidth="1"/>
    <col min="4105" max="4105" width="16.75" style="251" customWidth="1"/>
    <col min="4106" max="4106" width="21.75" style="251" customWidth="1"/>
    <col min="4107" max="4352" width="9" style="251"/>
    <col min="4353" max="4353" width="10.875" style="251" bestFit="1" customWidth="1"/>
    <col min="4354" max="4354" width="29" style="251" bestFit="1" customWidth="1"/>
    <col min="4355" max="4355" width="11.125" style="251" customWidth="1"/>
    <col min="4356" max="4356" width="15.875" style="251" customWidth="1"/>
    <col min="4357" max="4357" width="16.375" style="251" customWidth="1"/>
    <col min="4358" max="4359" width="0" style="251" hidden="1" customWidth="1"/>
    <col min="4360" max="4360" width="17.25" style="251" customWidth="1"/>
    <col min="4361" max="4361" width="16.75" style="251" customWidth="1"/>
    <col min="4362" max="4362" width="21.75" style="251" customWidth="1"/>
    <col min="4363" max="4608" width="9" style="251"/>
    <col min="4609" max="4609" width="10.875" style="251" bestFit="1" customWidth="1"/>
    <col min="4610" max="4610" width="29" style="251" bestFit="1" customWidth="1"/>
    <col min="4611" max="4611" width="11.125" style="251" customWidth="1"/>
    <col min="4612" max="4612" width="15.875" style="251" customWidth="1"/>
    <col min="4613" max="4613" width="16.375" style="251" customWidth="1"/>
    <col min="4614" max="4615" width="0" style="251" hidden="1" customWidth="1"/>
    <col min="4616" max="4616" width="17.25" style="251" customWidth="1"/>
    <col min="4617" max="4617" width="16.75" style="251" customWidth="1"/>
    <col min="4618" max="4618" width="21.75" style="251" customWidth="1"/>
    <col min="4619" max="4864" width="9" style="251"/>
    <col min="4865" max="4865" width="10.875" style="251" bestFit="1" customWidth="1"/>
    <col min="4866" max="4866" width="29" style="251" bestFit="1" customWidth="1"/>
    <col min="4867" max="4867" width="11.125" style="251" customWidth="1"/>
    <col min="4868" max="4868" width="15.875" style="251" customWidth="1"/>
    <col min="4869" max="4869" width="16.375" style="251" customWidth="1"/>
    <col min="4870" max="4871" width="0" style="251" hidden="1" customWidth="1"/>
    <col min="4872" max="4872" width="17.25" style="251" customWidth="1"/>
    <col min="4873" max="4873" width="16.75" style="251" customWidth="1"/>
    <col min="4874" max="4874" width="21.75" style="251" customWidth="1"/>
    <col min="4875" max="5120" width="9" style="251"/>
    <col min="5121" max="5121" width="10.875" style="251" bestFit="1" customWidth="1"/>
    <col min="5122" max="5122" width="29" style="251" bestFit="1" customWidth="1"/>
    <col min="5123" max="5123" width="11.125" style="251" customWidth="1"/>
    <col min="5124" max="5124" width="15.875" style="251" customWidth="1"/>
    <col min="5125" max="5125" width="16.375" style="251" customWidth="1"/>
    <col min="5126" max="5127" width="0" style="251" hidden="1" customWidth="1"/>
    <col min="5128" max="5128" width="17.25" style="251" customWidth="1"/>
    <col min="5129" max="5129" width="16.75" style="251" customWidth="1"/>
    <col min="5130" max="5130" width="21.75" style="251" customWidth="1"/>
    <col min="5131" max="5376" width="9" style="251"/>
    <col min="5377" max="5377" width="10.875" style="251" bestFit="1" customWidth="1"/>
    <col min="5378" max="5378" width="29" style="251" bestFit="1" customWidth="1"/>
    <col min="5379" max="5379" width="11.125" style="251" customWidth="1"/>
    <col min="5380" max="5380" width="15.875" style="251" customWidth="1"/>
    <col min="5381" max="5381" width="16.375" style="251" customWidth="1"/>
    <col min="5382" max="5383" width="0" style="251" hidden="1" customWidth="1"/>
    <col min="5384" max="5384" width="17.25" style="251" customWidth="1"/>
    <col min="5385" max="5385" width="16.75" style="251" customWidth="1"/>
    <col min="5386" max="5386" width="21.75" style="251" customWidth="1"/>
    <col min="5387" max="5632" width="9" style="251"/>
    <col min="5633" max="5633" width="10.875" style="251" bestFit="1" customWidth="1"/>
    <col min="5634" max="5634" width="29" style="251" bestFit="1" customWidth="1"/>
    <col min="5635" max="5635" width="11.125" style="251" customWidth="1"/>
    <col min="5636" max="5636" width="15.875" style="251" customWidth="1"/>
    <col min="5637" max="5637" width="16.375" style="251" customWidth="1"/>
    <col min="5638" max="5639" width="0" style="251" hidden="1" customWidth="1"/>
    <col min="5640" max="5640" width="17.25" style="251" customWidth="1"/>
    <col min="5641" max="5641" width="16.75" style="251" customWidth="1"/>
    <col min="5642" max="5642" width="21.75" style="251" customWidth="1"/>
    <col min="5643" max="5888" width="9" style="251"/>
    <col min="5889" max="5889" width="10.875" style="251" bestFit="1" customWidth="1"/>
    <col min="5890" max="5890" width="29" style="251" bestFit="1" customWidth="1"/>
    <col min="5891" max="5891" width="11.125" style="251" customWidth="1"/>
    <col min="5892" max="5892" width="15.875" style="251" customWidth="1"/>
    <col min="5893" max="5893" width="16.375" style="251" customWidth="1"/>
    <col min="5894" max="5895" width="0" style="251" hidden="1" customWidth="1"/>
    <col min="5896" max="5896" width="17.25" style="251" customWidth="1"/>
    <col min="5897" max="5897" width="16.75" style="251" customWidth="1"/>
    <col min="5898" max="5898" width="21.75" style="251" customWidth="1"/>
    <col min="5899" max="6144" width="9" style="251"/>
    <col min="6145" max="6145" width="10.875" style="251" bestFit="1" customWidth="1"/>
    <col min="6146" max="6146" width="29" style="251" bestFit="1" customWidth="1"/>
    <col min="6147" max="6147" width="11.125" style="251" customWidth="1"/>
    <col min="6148" max="6148" width="15.875" style="251" customWidth="1"/>
    <col min="6149" max="6149" width="16.375" style="251" customWidth="1"/>
    <col min="6150" max="6151" width="0" style="251" hidden="1" customWidth="1"/>
    <col min="6152" max="6152" width="17.25" style="251" customWidth="1"/>
    <col min="6153" max="6153" width="16.75" style="251" customWidth="1"/>
    <col min="6154" max="6154" width="21.75" style="251" customWidth="1"/>
    <col min="6155" max="6400" width="9" style="251"/>
    <col min="6401" max="6401" width="10.875" style="251" bestFit="1" customWidth="1"/>
    <col min="6402" max="6402" width="29" style="251" bestFit="1" customWidth="1"/>
    <col min="6403" max="6403" width="11.125" style="251" customWidth="1"/>
    <col min="6404" max="6404" width="15.875" style="251" customWidth="1"/>
    <col min="6405" max="6405" width="16.375" style="251" customWidth="1"/>
    <col min="6406" max="6407" width="0" style="251" hidden="1" customWidth="1"/>
    <col min="6408" max="6408" width="17.25" style="251" customWidth="1"/>
    <col min="6409" max="6409" width="16.75" style="251" customWidth="1"/>
    <col min="6410" max="6410" width="21.75" style="251" customWidth="1"/>
    <col min="6411" max="6656" width="9" style="251"/>
    <col min="6657" max="6657" width="10.875" style="251" bestFit="1" customWidth="1"/>
    <col min="6658" max="6658" width="29" style="251" bestFit="1" customWidth="1"/>
    <col min="6659" max="6659" width="11.125" style="251" customWidth="1"/>
    <col min="6660" max="6660" width="15.875" style="251" customWidth="1"/>
    <col min="6661" max="6661" width="16.375" style="251" customWidth="1"/>
    <col min="6662" max="6663" width="0" style="251" hidden="1" customWidth="1"/>
    <col min="6664" max="6664" width="17.25" style="251" customWidth="1"/>
    <col min="6665" max="6665" width="16.75" style="251" customWidth="1"/>
    <col min="6666" max="6666" width="21.75" style="251" customWidth="1"/>
    <col min="6667" max="6912" width="9" style="251"/>
    <col min="6913" max="6913" width="10.875" style="251" bestFit="1" customWidth="1"/>
    <col min="6914" max="6914" width="29" style="251" bestFit="1" customWidth="1"/>
    <col min="6915" max="6915" width="11.125" style="251" customWidth="1"/>
    <col min="6916" max="6916" width="15.875" style="251" customWidth="1"/>
    <col min="6917" max="6917" width="16.375" style="251" customWidth="1"/>
    <col min="6918" max="6919" width="0" style="251" hidden="1" customWidth="1"/>
    <col min="6920" max="6920" width="17.25" style="251" customWidth="1"/>
    <col min="6921" max="6921" width="16.75" style="251" customWidth="1"/>
    <col min="6922" max="6922" width="21.75" style="251" customWidth="1"/>
    <col min="6923" max="7168" width="9" style="251"/>
    <col min="7169" max="7169" width="10.875" style="251" bestFit="1" customWidth="1"/>
    <col min="7170" max="7170" width="29" style="251" bestFit="1" customWidth="1"/>
    <col min="7171" max="7171" width="11.125" style="251" customWidth="1"/>
    <col min="7172" max="7172" width="15.875" style="251" customWidth="1"/>
    <col min="7173" max="7173" width="16.375" style="251" customWidth="1"/>
    <col min="7174" max="7175" width="0" style="251" hidden="1" customWidth="1"/>
    <col min="7176" max="7176" width="17.25" style="251" customWidth="1"/>
    <col min="7177" max="7177" width="16.75" style="251" customWidth="1"/>
    <col min="7178" max="7178" width="21.75" style="251" customWidth="1"/>
    <col min="7179" max="7424" width="9" style="251"/>
    <col min="7425" max="7425" width="10.875" style="251" bestFit="1" customWidth="1"/>
    <col min="7426" max="7426" width="29" style="251" bestFit="1" customWidth="1"/>
    <col min="7427" max="7427" width="11.125" style="251" customWidth="1"/>
    <col min="7428" max="7428" width="15.875" style="251" customWidth="1"/>
    <col min="7429" max="7429" width="16.375" style="251" customWidth="1"/>
    <col min="7430" max="7431" width="0" style="251" hidden="1" customWidth="1"/>
    <col min="7432" max="7432" width="17.25" style="251" customWidth="1"/>
    <col min="7433" max="7433" width="16.75" style="251" customWidth="1"/>
    <col min="7434" max="7434" width="21.75" style="251" customWidth="1"/>
    <col min="7435" max="7680" width="9" style="251"/>
    <col min="7681" max="7681" width="10.875" style="251" bestFit="1" customWidth="1"/>
    <col min="7682" max="7682" width="29" style="251" bestFit="1" customWidth="1"/>
    <col min="7683" max="7683" width="11.125" style="251" customWidth="1"/>
    <col min="7684" max="7684" width="15.875" style="251" customWidth="1"/>
    <col min="7685" max="7685" width="16.375" style="251" customWidth="1"/>
    <col min="7686" max="7687" width="0" style="251" hidden="1" customWidth="1"/>
    <col min="7688" max="7688" width="17.25" style="251" customWidth="1"/>
    <col min="7689" max="7689" width="16.75" style="251" customWidth="1"/>
    <col min="7690" max="7690" width="21.75" style="251" customWidth="1"/>
    <col min="7691" max="7936" width="9" style="251"/>
    <col min="7937" max="7937" width="10.875" style="251" bestFit="1" customWidth="1"/>
    <col min="7938" max="7938" width="29" style="251" bestFit="1" customWidth="1"/>
    <col min="7939" max="7939" width="11.125" style="251" customWidth="1"/>
    <col min="7940" max="7940" width="15.875" style="251" customWidth="1"/>
    <col min="7941" max="7941" width="16.375" style="251" customWidth="1"/>
    <col min="7942" max="7943" width="0" style="251" hidden="1" customWidth="1"/>
    <col min="7944" max="7944" width="17.25" style="251" customWidth="1"/>
    <col min="7945" max="7945" width="16.75" style="251" customWidth="1"/>
    <col min="7946" max="7946" width="21.75" style="251" customWidth="1"/>
    <col min="7947" max="8192" width="9" style="251"/>
    <col min="8193" max="8193" width="10.875" style="251" bestFit="1" customWidth="1"/>
    <col min="8194" max="8194" width="29" style="251" bestFit="1" customWidth="1"/>
    <col min="8195" max="8195" width="11.125" style="251" customWidth="1"/>
    <col min="8196" max="8196" width="15.875" style="251" customWidth="1"/>
    <col min="8197" max="8197" width="16.375" style="251" customWidth="1"/>
    <col min="8198" max="8199" width="0" style="251" hidden="1" customWidth="1"/>
    <col min="8200" max="8200" width="17.25" style="251" customWidth="1"/>
    <col min="8201" max="8201" width="16.75" style="251" customWidth="1"/>
    <col min="8202" max="8202" width="21.75" style="251" customWidth="1"/>
    <col min="8203" max="8448" width="9" style="251"/>
    <col min="8449" max="8449" width="10.875" style="251" bestFit="1" customWidth="1"/>
    <col min="8450" max="8450" width="29" style="251" bestFit="1" customWidth="1"/>
    <col min="8451" max="8451" width="11.125" style="251" customWidth="1"/>
    <col min="8452" max="8452" width="15.875" style="251" customWidth="1"/>
    <col min="8453" max="8453" width="16.375" style="251" customWidth="1"/>
    <col min="8454" max="8455" width="0" style="251" hidden="1" customWidth="1"/>
    <col min="8456" max="8456" width="17.25" style="251" customWidth="1"/>
    <col min="8457" max="8457" width="16.75" style="251" customWidth="1"/>
    <col min="8458" max="8458" width="21.75" style="251" customWidth="1"/>
    <col min="8459" max="8704" width="9" style="251"/>
    <col min="8705" max="8705" width="10.875" style="251" bestFit="1" customWidth="1"/>
    <col min="8706" max="8706" width="29" style="251" bestFit="1" customWidth="1"/>
    <col min="8707" max="8707" width="11.125" style="251" customWidth="1"/>
    <col min="8708" max="8708" width="15.875" style="251" customWidth="1"/>
    <col min="8709" max="8709" width="16.375" style="251" customWidth="1"/>
    <col min="8710" max="8711" width="0" style="251" hidden="1" customWidth="1"/>
    <col min="8712" max="8712" width="17.25" style="251" customWidth="1"/>
    <col min="8713" max="8713" width="16.75" style="251" customWidth="1"/>
    <col min="8714" max="8714" width="21.75" style="251" customWidth="1"/>
    <col min="8715" max="8960" width="9" style="251"/>
    <col min="8961" max="8961" width="10.875" style="251" bestFit="1" customWidth="1"/>
    <col min="8962" max="8962" width="29" style="251" bestFit="1" customWidth="1"/>
    <col min="8963" max="8963" width="11.125" style="251" customWidth="1"/>
    <col min="8964" max="8964" width="15.875" style="251" customWidth="1"/>
    <col min="8965" max="8965" width="16.375" style="251" customWidth="1"/>
    <col min="8966" max="8967" width="0" style="251" hidden="1" customWidth="1"/>
    <col min="8968" max="8968" width="17.25" style="251" customWidth="1"/>
    <col min="8969" max="8969" width="16.75" style="251" customWidth="1"/>
    <col min="8970" max="8970" width="21.75" style="251" customWidth="1"/>
    <col min="8971" max="9216" width="9" style="251"/>
    <col min="9217" max="9217" width="10.875" style="251" bestFit="1" customWidth="1"/>
    <col min="9218" max="9218" width="29" style="251" bestFit="1" customWidth="1"/>
    <col min="9219" max="9219" width="11.125" style="251" customWidth="1"/>
    <col min="9220" max="9220" width="15.875" style="251" customWidth="1"/>
    <col min="9221" max="9221" width="16.375" style="251" customWidth="1"/>
    <col min="9222" max="9223" width="0" style="251" hidden="1" customWidth="1"/>
    <col min="9224" max="9224" width="17.25" style="251" customWidth="1"/>
    <col min="9225" max="9225" width="16.75" style="251" customWidth="1"/>
    <col min="9226" max="9226" width="21.75" style="251" customWidth="1"/>
    <col min="9227" max="9472" width="9" style="251"/>
    <col min="9473" max="9473" width="10.875" style="251" bestFit="1" customWidth="1"/>
    <col min="9474" max="9474" width="29" style="251" bestFit="1" customWidth="1"/>
    <col min="9475" max="9475" width="11.125" style="251" customWidth="1"/>
    <col min="9476" max="9476" width="15.875" style="251" customWidth="1"/>
    <col min="9477" max="9477" width="16.375" style="251" customWidth="1"/>
    <col min="9478" max="9479" width="0" style="251" hidden="1" customWidth="1"/>
    <col min="9480" max="9480" width="17.25" style="251" customWidth="1"/>
    <col min="9481" max="9481" width="16.75" style="251" customWidth="1"/>
    <col min="9482" max="9482" width="21.75" style="251" customWidth="1"/>
    <col min="9483" max="9728" width="9" style="251"/>
    <col min="9729" max="9729" width="10.875" style="251" bestFit="1" customWidth="1"/>
    <col min="9730" max="9730" width="29" style="251" bestFit="1" customWidth="1"/>
    <col min="9731" max="9731" width="11.125" style="251" customWidth="1"/>
    <col min="9732" max="9732" width="15.875" style="251" customWidth="1"/>
    <col min="9733" max="9733" width="16.375" style="251" customWidth="1"/>
    <col min="9734" max="9735" width="0" style="251" hidden="1" customWidth="1"/>
    <col min="9736" max="9736" width="17.25" style="251" customWidth="1"/>
    <col min="9737" max="9737" width="16.75" style="251" customWidth="1"/>
    <col min="9738" max="9738" width="21.75" style="251" customWidth="1"/>
    <col min="9739" max="9984" width="9" style="251"/>
    <col min="9985" max="9985" width="10.875" style="251" bestFit="1" customWidth="1"/>
    <col min="9986" max="9986" width="29" style="251" bestFit="1" customWidth="1"/>
    <col min="9987" max="9987" width="11.125" style="251" customWidth="1"/>
    <col min="9988" max="9988" width="15.875" style="251" customWidth="1"/>
    <col min="9989" max="9989" width="16.375" style="251" customWidth="1"/>
    <col min="9990" max="9991" width="0" style="251" hidden="1" customWidth="1"/>
    <col min="9992" max="9992" width="17.25" style="251" customWidth="1"/>
    <col min="9993" max="9993" width="16.75" style="251" customWidth="1"/>
    <col min="9994" max="9994" width="21.75" style="251" customWidth="1"/>
    <col min="9995" max="10240" width="9" style="251"/>
    <col min="10241" max="10241" width="10.875" style="251" bestFit="1" customWidth="1"/>
    <col min="10242" max="10242" width="29" style="251" bestFit="1" customWidth="1"/>
    <col min="10243" max="10243" width="11.125" style="251" customWidth="1"/>
    <col min="10244" max="10244" width="15.875" style="251" customWidth="1"/>
    <col min="10245" max="10245" width="16.375" style="251" customWidth="1"/>
    <col min="10246" max="10247" width="0" style="251" hidden="1" customWidth="1"/>
    <col min="10248" max="10248" width="17.25" style="251" customWidth="1"/>
    <col min="10249" max="10249" width="16.75" style="251" customWidth="1"/>
    <col min="10250" max="10250" width="21.75" style="251" customWidth="1"/>
    <col min="10251" max="10496" width="9" style="251"/>
    <col min="10497" max="10497" width="10.875" style="251" bestFit="1" customWidth="1"/>
    <col min="10498" max="10498" width="29" style="251" bestFit="1" customWidth="1"/>
    <col min="10499" max="10499" width="11.125" style="251" customWidth="1"/>
    <col min="10500" max="10500" width="15.875" style="251" customWidth="1"/>
    <col min="10501" max="10501" width="16.375" style="251" customWidth="1"/>
    <col min="10502" max="10503" width="0" style="251" hidden="1" customWidth="1"/>
    <col min="10504" max="10504" width="17.25" style="251" customWidth="1"/>
    <col min="10505" max="10505" width="16.75" style="251" customWidth="1"/>
    <col min="10506" max="10506" width="21.75" style="251" customWidth="1"/>
    <col min="10507" max="10752" width="9" style="251"/>
    <col min="10753" max="10753" width="10.875" style="251" bestFit="1" customWidth="1"/>
    <col min="10754" max="10754" width="29" style="251" bestFit="1" customWidth="1"/>
    <col min="10755" max="10755" width="11.125" style="251" customWidth="1"/>
    <col min="10756" max="10756" width="15.875" style="251" customWidth="1"/>
    <col min="10757" max="10757" width="16.375" style="251" customWidth="1"/>
    <col min="10758" max="10759" width="0" style="251" hidden="1" customWidth="1"/>
    <col min="10760" max="10760" width="17.25" style="251" customWidth="1"/>
    <col min="10761" max="10761" width="16.75" style="251" customWidth="1"/>
    <col min="10762" max="10762" width="21.75" style="251" customWidth="1"/>
    <col min="10763" max="11008" width="9" style="251"/>
    <col min="11009" max="11009" width="10.875" style="251" bestFit="1" customWidth="1"/>
    <col min="11010" max="11010" width="29" style="251" bestFit="1" customWidth="1"/>
    <col min="11011" max="11011" width="11.125" style="251" customWidth="1"/>
    <col min="11012" max="11012" width="15.875" style="251" customWidth="1"/>
    <col min="11013" max="11013" width="16.375" style="251" customWidth="1"/>
    <col min="11014" max="11015" width="0" style="251" hidden="1" customWidth="1"/>
    <col min="11016" max="11016" width="17.25" style="251" customWidth="1"/>
    <col min="11017" max="11017" width="16.75" style="251" customWidth="1"/>
    <col min="11018" max="11018" width="21.75" style="251" customWidth="1"/>
    <col min="11019" max="11264" width="9" style="251"/>
    <col min="11265" max="11265" width="10.875" style="251" bestFit="1" customWidth="1"/>
    <col min="11266" max="11266" width="29" style="251" bestFit="1" customWidth="1"/>
    <col min="11267" max="11267" width="11.125" style="251" customWidth="1"/>
    <col min="11268" max="11268" width="15.875" style="251" customWidth="1"/>
    <col min="11269" max="11269" width="16.375" style="251" customWidth="1"/>
    <col min="11270" max="11271" width="0" style="251" hidden="1" customWidth="1"/>
    <col min="11272" max="11272" width="17.25" style="251" customWidth="1"/>
    <col min="11273" max="11273" width="16.75" style="251" customWidth="1"/>
    <col min="11274" max="11274" width="21.75" style="251" customWidth="1"/>
    <col min="11275" max="11520" width="9" style="251"/>
    <col min="11521" max="11521" width="10.875" style="251" bestFit="1" customWidth="1"/>
    <col min="11522" max="11522" width="29" style="251" bestFit="1" customWidth="1"/>
    <col min="11523" max="11523" width="11.125" style="251" customWidth="1"/>
    <col min="11524" max="11524" width="15.875" style="251" customWidth="1"/>
    <col min="11525" max="11525" width="16.375" style="251" customWidth="1"/>
    <col min="11526" max="11527" width="0" style="251" hidden="1" customWidth="1"/>
    <col min="11528" max="11528" width="17.25" style="251" customWidth="1"/>
    <col min="11529" max="11529" width="16.75" style="251" customWidth="1"/>
    <col min="11530" max="11530" width="21.75" style="251" customWidth="1"/>
    <col min="11531" max="11776" width="9" style="251"/>
    <col min="11777" max="11777" width="10.875" style="251" bestFit="1" customWidth="1"/>
    <col min="11778" max="11778" width="29" style="251" bestFit="1" customWidth="1"/>
    <col min="11779" max="11779" width="11.125" style="251" customWidth="1"/>
    <col min="11780" max="11780" width="15.875" style="251" customWidth="1"/>
    <col min="11781" max="11781" width="16.375" style="251" customWidth="1"/>
    <col min="11782" max="11783" width="0" style="251" hidden="1" customWidth="1"/>
    <col min="11784" max="11784" width="17.25" style="251" customWidth="1"/>
    <col min="11785" max="11785" width="16.75" style="251" customWidth="1"/>
    <col min="11786" max="11786" width="21.75" style="251" customWidth="1"/>
    <col min="11787" max="12032" width="9" style="251"/>
    <col min="12033" max="12033" width="10.875" style="251" bestFit="1" customWidth="1"/>
    <col min="12034" max="12034" width="29" style="251" bestFit="1" customWidth="1"/>
    <col min="12035" max="12035" width="11.125" style="251" customWidth="1"/>
    <col min="12036" max="12036" width="15.875" style="251" customWidth="1"/>
    <col min="12037" max="12037" width="16.375" style="251" customWidth="1"/>
    <col min="12038" max="12039" width="0" style="251" hidden="1" customWidth="1"/>
    <col min="12040" max="12040" width="17.25" style="251" customWidth="1"/>
    <col min="12041" max="12041" width="16.75" style="251" customWidth="1"/>
    <col min="12042" max="12042" width="21.75" style="251" customWidth="1"/>
    <col min="12043" max="12288" width="9" style="251"/>
    <col min="12289" max="12289" width="10.875" style="251" bestFit="1" customWidth="1"/>
    <col min="12290" max="12290" width="29" style="251" bestFit="1" customWidth="1"/>
    <col min="12291" max="12291" width="11.125" style="251" customWidth="1"/>
    <col min="12292" max="12292" width="15.875" style="251" customWidth="1"/>
    <col min="12293" max="12293" width="16.375" style="251" customWidth="1"/>
    <col min="12294" max="12295" width="0" style="251" hidden="1" customWidth="1"/>
    <col min="12296" max="12296" width="17.25" style="251" customWidth="1"/>
    <col min="12297" max="12297" width="16.75" style="251" customWidth="1"/>
    <col min="12298" max="12298" width="21.75" style="251" customWidth="1"/>
    <col min="12299" max="12544" width="9" style="251"/>
    <col min="12545" max="12545" width="10.875" style="251" bestFit="1" customWidth="1"/>
    <col min="12546" max="12546" width="29" style="251" bestFit="1" customWidth="1"/>
    <col min="12547" max="12547" width="11.125" style="251" customWidth="1"/>
    <col min="12548" max="12548" width="15.875" style="251" customWidth="1"/>
    <col min="12549" max="12549" width="16.375" style="251" customWidth="1"/>
    <col min="12550" max="12551" width="0" style="251" hidden="1" customWidth="1"/>
    <col min="12552" max="12552" width="17.25" style="251" customWidth="1"/>
    <col min="12553" max="12553" width="16.75" style="251" customWidth="1"/>
    <col min="12554" max="12554" width="21.75" style="251" customWidth="1"/>
    <col min="12555" max="12800" width="9" style="251"/>
    <col min="12801" max="12801" width="10.875" style="251" bestFit="1" customWidth="1"/>
    <col min="12802" max="12802" width="29" style="251" bestFit="1" customWidth="1"/>
    <col min="12803" max="12803" width="11.125" style="251" customWidth="1"/>
    <col min="12804" max="12804" width="15.875" style="251" customWidth="1"/>
    <col min="12805" max="12805" width="16.375" style="251" customWidth="1"/>
    <col min="12806" max="12807" width="0" style="251" hidden="1" customWidth="1"/>
    <col min="12808" max="12808" width="17.25" style="251" customWidth="1"/>
    <col min="12809" max="12809" width="16.75" style="251" customWidth="1"/>
    <col min="12810" max="12810" width="21.75" style="251" customWidth="1"/>
    <col min="12811" max="13056" width="9" style="251"/>
    <col min="13057" max="13057" width="10.875" style="251" bestFit="1" customWidth="1"/>
    <col min="13058" max="13058" width="29" style="251" bestFit="1" customWidth="1"/>
    <col min="13059" max="13059" width="11.125" style="251" customWidth="1"/>
    <col min="13060" max="13060" width="15.875" style="251" customWidth="1"/>
    <col min="13061" max="13061" width="16.375" style="251" customWidth="1"/>
    <col min="13062" max="13063" width="0" style="251" hidden="1" customWidth="1"/>
    <col min="13064" max="13064" width="17.25" style="251" customWidth="1"/>
    <col min="13065" max="13065" width="16.75" style="251" customWidth="1"/>
    <col min="13066" max="13066" width="21.75" style="251" customWidth="1"/>
    <col min="13067" max="13312" width="9" style="251"/>
    <col min="13313" max="13313" width="10.875" style="251" bestFit="1" customWidth="1"/>
    <col min="13314" max="13314" width="29" style="251" bestFit="1" customWidth="1"/>
    <col min="13315" max="13315" width="11.125" style="251" customWidth="1"/>
    <col min="13316" max="13316" width="15.875" style="251" customWidth="1"/>
    <col min="13317" max="13317" width="16.375" style="251" customWidth="1"/>
    <col min="13318" max="13319" width="0" style="251" hidden="1" customWidth="1"/>
    <col min="13320" max="13320" width="17.25" style="251" customWidth="1"/>
    <col min="13321" max="13321" width="16.75" style="251" customWidth="1"/>
    <col min="13322" max="13322" width="21.75" style="251" customWidth="1"/>
    <col min="13323" max="13568" width="9" style="251"/>
    <col min="13569" max="13569" width="10.875" style="251" bestFit="1" customWidth="1"/>
    <col min="13570" max="13570" width="29" style="251" bestFit="1" customWidth="1"/>
    <col min="13571" max="13571" width="11.125" style="251" customWidth="1"/>
    <col min="13572" max="13572" width="15.875" style="251" customWidth="1"/>
    <col min="13573" max="13573" width="16.375" style="251" customWidth="1"/>
    <col min="13574" max="13575" width="0" style="251" hidden="1" customWidth="1"/>
    <col min="13576" max="13576" width="17.25" style="251" customWidth="1"/>
    <col min="13577" max="13577" width="16.75" style="251" customWidth="1"/>
    <col min="13578" max="13578" width="21.75" style="251" customWidth="1"/>
    <col min="13579" max="13824" width="9" style="251"/>
    <col min="13825" max="13825" width="10.875" style="251" bestFit="1" customWidth="1"/>
    <col min="13826" max="13826" width="29" style="251" bestFit="1" customWidth="1"/>
    <col min="13827" max="13827" width="11.125" style="251" customWidth="1"/>
    <col min="13828" max="13828" width="15.875" style="251" customWidth="1"/>
    <col min="13829" max="13829" width="16.375" style="251" customWidth="1"/>
    <col min="13830" max="13831" width="0" style="251" hidden="1" customWidth="1"/>
    <col min="13832" max="13832" width="17.25" style="251" customWidth="1"/>
    <col min="13833" max="13833" width="16.75" style="251" customWidth="1"/>
    <col min="13834" max="13834" width="21.75" style="251" customWidth="1"/>
    <col min="13835" max="14080" width="9" style="251"/>
    <col min="14081" max="14081" width="10.875" style="251" bestFit="1" customWidth="1"/>
    <col min="14082" max="14082" width="29" style="251" bestFit="1" customWidth="1"/>
    <col min="14083" max="14083" width="11.125" style="251" customWidth="1"/>
    <col min="14084" max="14084" width="15.875" style="251" customWidth="1"/>
    <col min="14085" max="14085" width="16.375" style="251" customWidth="1"/>
    <col min="14086" max="14087" width="0" style="251" hidden="1" customWidth="1"/>
    <col min="14088" max="14088" width="17.25" style="251" customWidth="1"/>
    <col min="14089" max="14089" width="16.75" style="251" customWidth="1"/>
    <col min="14090" max="14090" width="21.75" style="251" customWidth="1"/>
    <col min="14091" max="14336" width="9" style="251"/>
    <col min="14337" max="14337" width="10.875" style="251" bestFit="1" customWidth="1"/>
    <col min="14338" max="14338" width="29" style="251" bestFit="1" customWidth="1"/>
    <col min="14339" max="14339" width="11.125" style="251" customWidth="1"/>
    <col min="14340" max="14340" width="15.875" style="251" customWidth="1"/>
    <col min="14341" max="14341" width="16.375" style="251" customWidth="1"/>
    <col min="14342" max="14343" width="0" style="251" hidden="1" customWidth="1"/>
    <col min="14344" max="14344" width="17.25" style="251" customWidth="1"/>
    <col min="14345" max="14345" width="16.75" style="251" customWidth="1"/>
    <col min="14346" max="14346" width="21.75" style="251" customWidth="1"/>
    <col min="14347" max="14592" width="9" style="251"/>
    <col min="14593" max="14593" width="10.875" style="251" bestFit="1" customWidth="1"/>
    <col min="14594" max="14594" width="29" style="251" bestFit="1" customWidth="1"/>
    <col min="14595" max="14595" width="11.125" style="251" customWidth="1"/>
    <col min="14596" max="14596" width="15.875" style="251" customWidth="1"/>
    <col min="14597" max="14597" width="16.375" style="251" customWidth="1"/>
    <col min="14598" max="14599" width="0" style="251" hidden="1" customWidth="1"/>
    <col min="14600" max="14600" width="17.25" style="251" customWidth="1"/>
    <col min="14601" max="14601" width="16.75" style="251" customWidth="1"/>
    <col min="14602" max="14602" width="21.75" style="251" customWidth="1"/>
    <col min="14603" max="14848" width="9" style="251"/>
    <col min="14849" max="14849" width="10.875" style="251" bestFit="1" customWidth="1"/>
    <col min="14850" max="14850" width="29" style="251" bestFit="1" customWidth="1"/>
    <col min="14851" max="14851" width="11.125" style="251" customWidth="1"/>
    <col min="14852" max="14852" width="15.875" style="251" customWidth="1"/>
    <col min="14853" max="14853" width="16.375" style="251" customWidth="1"/>
    <col min="14854" max="14855" width="0" style="251" hidden="1" customWidth="1"/>
    <col min="14856" max="14856" width="17.25" style="251" customWidth="1"/>
    <col min="14857" max="14857" width="16.75" style="251" customWidth="1"/>
    <col min="14858" max="14858" width="21.75" style="251" customWidth="1"/>
    <col min="14859" max="15104" width="9" style="251"/>
    <col min="15105" max="15105" width="10.875" style="251" bestFit="1" customWidth="1"/>
    <col min="15106" max="15106" width="29" style="251" bestFit="1" customWidth="1"/>
    <col min="15107" max="15107" width="11.125" style="251" customWidth="1"/>
    <col min="15108" max="15108" width="15.875" style="251" customWidth="1"/>
    <col min="15109" max="15109" width="16.375" style="251" customWidth="1"/>
    <col min="15110" max="15111" width="0" style="251" hidden="1" customWidth="1"/>
    <col min="15112" max="15112" width="17.25" style="251" customWidth="1"/>
    <col min="15113" max="15113" width="16.75" style="251" customWidth="1"/>
    <col min="15114" max="15114" width="21.75" style="251" customWidth="1"/>
    <col min="15115" max="15360" width="9" style="251"/>
    <col min="15361" max="15361" width="10.875" style="251" bestFit="1" customWidth="1"/>
    <col min="15362" max="15362" width="29" style="251" bestFit="1" customWidth="1"/>
    <col min="15363" max="15363" width="11.125" style="251" customWidth="1"/>
    <col min="15364" max="15364" width="15.875" style="251" customWidth="1"/>
    <col min="15365" max="15365" width="16.375" style="251" customWidth="1"/>
    <col min="15366" max="15367" width="0" style="251" hidden="1" customWidth="1"/>
    <col min="15368" max="15368" width="17.25" style="251" customWidth="1"/>
    <col min="15369" max="15369" width="16.75" style="251" customWidth="1"/>
    <col min="15370" max="15370" width="21.75" style="251" customWidth="1"/>
    <col min="15371" max="15616" width="9" style="251"/>
    <col min="15617" max="15617" width="10.875" style="251" bestFit="1" customWidth="1"/>
    <col min="15618" max="15618" width="29" style="251" bestFit="1" customWidth="1"/>
    <col min="15619" max="15619" width="11.125" style="251" customWidth="1"/>
    <col min="15620" max="15620" width="15.875" style="251" customWidth="1"/>
    <col min="15621" max="15621" width="16.375" style="251" customWidth="1"/>
    <col min="15622" max="15623" width="0" style="251" hidden="1" customWidth="1"/>
    <col min="15624" max="15624" width="17.25" style="251" customWidth="1"/>
    <col min="15625" max="15625" width="16.75" style="251" customWidth="1"/>
    <col min="15626" max="15626" width="21.75" style="251" customWidth="1"/>
    <col min="15627" max="15872" width="9" style="251"/>
    <col min="15873" max="15873" width="10.875" style="251" bestFit="1" customWidth="1"/>
    <col min="15874" max="15874" width="29" style="251" bestFit="1" customWidth="1"/>
    <col min="15875" max="15875" width="11.125" style="251" customWidth="1"/>
    <col min="15876" max="15876" width="15.875" style="251" customWidth="1"/>
    <col min="15877" max="15877" width="16.375" style="251" customWidth="1"/>
    <col min="15878" max="15879" width="0" style="251" hidden="1" customWidth="1"/>
    <col min="15880" max="15880" width="17.25" style="251" customWidth="1"/>
    <col min="15881" max="15881" width="16.75" style="251" customWidth="1"/>
    <col min="15882" max="15882" width="21.75" style="251" customWidth="1"/>
    <col min="15883" max="16128" width="9" style="251"/>
    <col min="16129" max="16129" width="10.875" style="251" bestFit="1" customWidth="1"/>
    <col min="16130" max="16130" width="29" style="251" bestFit="1" customWidth="1"/>
    <col min="16131" max="16131" width="11.125" style="251" customWidth="1"/>
    <col min="16132" max="16132" width="15.875" style="251" customWidth="1"/>
    <col min="16133" max="16133" width="16.375" style="251" customWidth="1"/>
    <col min="16134" max="16135" width="0" style="251" hidden="1" customWidth="1"/>
    <col min="16136" max="16136" width="17.25" style="251" customWidth="1"/>
    <col min="16137" max="16137" width="16.75" style="251" customWidth="1"/>
    <col min="16138" max="16138" width="21.75" style="251" customWidth="1"/>
    <col min="16139" max="16384" width="9" style="251"/>
  </cols>
  <sheetData>
    <row r="1" spans="1:10" s="218" customFormat="1" ht="30.75">
      <c r="H1" s="219"/>
      <c r="I1" s="219"/>
      <c r="J1" s="220"/>
    </row>
    <row r="2" spans="1:10" s="218" customFormat="1" ht="24">
      <c r="A2" s="372" t="s">
        <v>270</v>
      </c>
      <c r="B2" s="372"/>
      <c r="C2" s="372"/>
      <c r="D2" s="372"/>
      <c r="E2" s="372"/>
      <c r="F2" s="372"/>
      <c r="G2" s="372"/>
      <c r="H2" s="372"/>
      <c r="I2" s="372"/>
      <c r="J2" s="372"/>
    </row>
    <row r="3" spans="1:10" s="218" customFormat="1" ht="24">
      <c r="A3" s="373" t="s">
        <v>288</v>
      </c>
      <c r="B3" s="373"/>
      <c r="C3" s="373"/>
      <c r="D3" s="373"/>
      <c r="E3" s="373"/>
      <c r="F3" s="373"/>
      <c r="G3" s="373"/>
      <c r="H3" s="373"/>
      <c r="I3" s="373"/>
      <c r="J3" s="373"/>
    </row>
    <row r="4" spans="1:10" s="218" customFormat="1" ht="24">
      <c r="A4" s="374" t="s">
        <v>284</v>
      </c>
      <c r="B4" s="374"/>
      <c r="C4" s="374"/>
      <c r="D4" s="374"/>
      <c r="E4" s="374"/>
      <c r="F4" s="374"/>
      <c r="G4" s="374"/>
      <c r="H4" s="374"/>
      <c r="I4" s="374"/>
      <c r="J4" s="374"/>
    </row>
    <row r="5" spans="1:10" s="218" customFormat="1" ht="24">
      <c r="A5" s="375" t="s">
        <v>271</v>
      </c>
      <c r="B5" s="375"/>
      <c r="C5" s="375"/>
      <c r="D5" s="375"/>
      <c r="E5" s="375"/>
      <c r="F5" s="375"/>
      <c r="G5" s="375"/>
      <c r="H5" s="375"/>
      <c r="I5" s="375"/>
      <c r="J5" s="221" t="s">
        <v>222</v>
      </c>
    </row>
    <row r="6" spans="1:10" s="222" customFormat="1" ht="24">
      <c r="A6" s="376" t="s">
        <v>272</v>
      </c>
      <c r="B6" s="376" t="s">
        <v>273</v>
      </c>
      <c r="C6" s="376" t="s">
        <v>274</v>
      </c>
      <c r="D6" s="379" t="s">
        <v>275</v>
      </c>
      <c r="E6" s="379"/>
      <c r="F6" s="379" t="s">
        <v>276</v>
      </c>
      <c r="G6" s="379"/>
      <c r="H6" s="262" t="s">
        <v>277</v>
      </c>
      <c r="I6" s="262" t="s">
        <v>278</v>
      </c>
      <c r="J6" s="380" t="s">
        <v>279</v>
      </c>
    </row>
    <row r="7" spans="1:10" s="222" customFormat="1" ht="24">
      <c r="A7" s="377"/>
      <c r="B7" s="377"/>
      <c r="C7" s="378"/>
      <c r="D7" s="262" t="s">
        <v>239</v>
      </c>
      <c r="E7" s="263" t="s">
        <v>280</v>
      </c>
      <c r="F7" s="264" t="s">
        <v>239</v>
      </c>
      <c r="G7" s="262" t="s">
        <v>280</v>
      </c>
      <c r="H7" s="262" t="s">
        <v>281</v>
      </c>
      <c r="I7" s="262" t="s">
        <v>282</v>
      </c>
      <c r="J7" s="381"/>
    </row>
    <row r="8" spans="1:10" s="223" customFormat="1" ht="24.75" thickBot="1">
      <c r="A8" s="265">
        <v>2565</v>
      </c>
      <c r="B8" s="265" t="s">
        <v>5</v>
      </c>
      <c r="C8" s="265"/>
      <c r="D8" s="266"/>
      <c r="E8" s="267"/>
      <c r="F8" s="268"/>
      <c r="G8" s="268"/>
      <c r="H8" s="268"/>
      <c r="I8" s="265"/>
      <c r="J8" s="268"/>
    </row>
    <row r="9" spans="1:10" s="223" customFormat="1" ht="22.5" thickTop="1">
      <c r="A9" s="254"/>
      <c r="B9" s="224" t="s">
        <v>286</v>
      </c>
      <c r="C9" s="225"/>
      <c r="D9" s="255" t="s">
        <v>285</v>
      </c>
      <c r="E9" s="256" t="s">
        <v>285</v>
      </c>
      <c r="F9" s="226"/>
      <c r="G9" s="227"/>
      <c r="H9" s="228" t="s">
        <v>285</v>
      </c>
      <c r="I9" s="255" t="s">
        <v>285</v>
      </c>
      <c r="J9" s="227"/>
    </row>
    <row r="10" spans="1:10" s="223" customFormat="1">
      <c r="A10" s="257"/>
      <c r="B10" s="229" t="s">
        <v>283</v>
      </c>
      <c r="C10" s="230"/>
      <c r="D10" s="258"/>
      <c r="E10" s="259"/>
      <c r="F10" s="231"/>
      <c r="G10" s="232"/>
      <c r="H10" s="233"/>
      <c r="I10" s="234"/>
      <c r="J10" s="235"/>
    </row>
    <row r="11" spans="1:10" s="223" customFormat="1" ht="24">
      <c r="A11" s="260"/>
      <c r="B11" s="229"/>
      <c r="C11" s="236"/>
      <c r="D11" s="261"/>
      <c r="E11" s="237"/>
      <c r="F11" s="238"/>
      <c r="G11" s="239"/>
      <c r="H11" s="240"/>
      <c r="I11" s="241"/>
      <c r="J11" s="235"/>
    </row>
    <row r="12" spans="1:10" s="223" customFormat="1">
      <c r="A12" s="242"/>
      <c r="B12" s="242"/>
      <c r="C12" s="242"/>
      <c r="D12" s="232"/>
      <c r="E12" s="232"/>
      <c r="F12" s="232"/>
      <c r="G12" s="232"/>
      <c r="H12" s="232"/>
      <c r="I12" s="234"/>
      <c r="J12" s="232"/>
    </row>
    <row r="13" spans="1:10" s="223" customFormat="1">
      <c r="A13" s="243"/>
      <c r="B13" s="242"/>
      <c r="C13" s="243"/>
      <c r="D13" s="232"/>
      <c r="E13" s="232"/>
      <c r="F13" s="232"/>
      <c r="G13" s="232"/>
      <c r="H13" s="232"/>
      <c r="I13" s="234"/>
      <c r="J13" s="232"/>
    </row>
    <row r="14" spans="1:10" s="223" customFormat="1">
      <c r="A14" s="243"/>
      <c r="B14" s="242"/>
      <c r="C14" s="243"/>
      <c r="D14" s="232"/>
      <c r="E14" s="232"/>
      <c r="F14" s="232"/>
      <c r="G14" s="232"/>
      <c r="H14" s="232"/>
      <c r="I14" s="234"/>
      <c r="J14" s="232"/>
    </row>
    <row r="15" spans="1:10" s="223" customFormat="1">
      <c r="A15" s="244"/>
      <c r="B15" s="244"/>
      <c r="C15" s="244"/>
      <c r="D15" s="245"/>
      <c r="E15" s="245"/>
      <c r="F15" s="245"/>
      <c r="G15" s="245"/>
      <c r="H15" s="245"/>
      <c r="I15" s="246"/>
      <c r="J15" s="247"/>
    </row>
    <row r="16" spans="1:10" s="223" customFormat="1">
      <c r="A16" s="248"/>
      <c r="B16" s="248"/>
      <c r="C16" s="248"/>
      <c r="D16" s="249"/>
      <c r="E16" s="249"/>
      <c r="F16" s="249"/>
      <c r="G16" s="249"/>
      <c r="H16" s="249"/>
      <c r="I16" s="250"/>
      <c r="J16" s="251"/>
    </row>
    <row r="17" spans="1:10" s="223" customFormat="1">
      <c r="A17" s="248"/>
      <c r="B17" s="248"/>
      <c r="C17" s="248"/>
      <c r="D17" s="249"/>
      <c r="E17" s="249"/>
      <c r="F17" s="249"/>
      <c r="G17" s="249"/>
      <c r="H17" s="249"/>
      <c r="I17" s="250"/>
      <c r="J17" s="251"/>
    </row>
    <row r="18" spans="1:10" s="223" customFormat="1">
      <c r="A18" s="252"/>
      <c r="B18" s="252"/>
      <c r="C18" s="252"/>
      <c r="D18" s="249"/>
      <c r="E18" s="249"/>
      <c r="F18" s="249"/>
      <c r="G18" s="249"/>
      <c r="H18" s="249"/>
      <c r="I18" s="250"/>
      <c r="J18" s="251"/>
    </row>
    <row r="19" spans="1:10" s="223" customFormat="1">
      <c r="A19" s="248"/>
      <c r="B19" s="248"/>
      <c r="C19" s="248"/>
      <c r="D19" s="249"/>
      <c r="E19" s="249"/>
      <c r="F19" s="249"/>
      <c r="G19" s="249"/>
      <c r="H19" s="249"/>
      <c r="I19" s="250"/>
      <c r="J19" s="251"/>
    </row>
    <row r="20" spans="1:10" s="223" customFormat="1">
      <c r="A20" s="248"/>
      <c r="B20" s="248"/>
      <c r="C20" s="248"/>
      <c r="D20" s="249"/>
      <c r="E20" s="249"/>
      <c r="F20" s="249"/>
      <c r="G20" s="249"/>
      <c r="H20" s="249"/>
      <c r="I20" s="250"/>
      <c r="J20" s="251"/>
    </row>
  </sheetData>
  <mergeCells count="10">
    <mergeCell ref="A2:J2"/>
    <mergeCell ref="A3:J3"/>
    <mergeCell ref="A4:J4"/>
    <mergeCell ref="A5:I5"/>
    <mergeCell ref="A6:A7"/>
    <mergeCell ref="B6:B7"/>
    <mergeCell ref="C6:C7"/>
    <mergeCell ref="D6:E6"/>
    <mergeCell ref="F6:G6"/>
    <mergeCell ref="J6:J7"/>
  </mergeCells>
  <printOptions horizontalCentered="1"/>
  <pageMargins left="0.39370078740157483" right="0.27559055118110237" top="0.59055118110236227" bottom="0.35433070866141736" header="0.19685039370078741" footer="0.19685039370078741"/>
  <pageSetup paperSize="9" scale="64" orientation="landscape" r:id="rId1"/>
  <headerFooter alignWithMargins="0">
    <oddFooter>&amp;R&amp;"AngsanaUPC,ธรรมดา"&amp;5teep/เงินกัน52/&amp;A&amp;F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4</vt:i4>
      </vt:variant>
    </vt:vector>
  </HeadingPairs>
  <TitlesOfParts>
    <vt:vector size="7" baseType="lpstr">
      <vt:lpstr>สผส-ก</vt:lpstr>
      <vt:lpstr>สผส-จ </vt:lpstr>
      <vt:lpstr>สผส-ป เงินกัน </vt:lpstr>
      <vt:lpstr>'สผส-ก'!Print_Area</vt:lpstr>
      <vt:lpstr>'สผส-จ '!Print_Area</vt:lpstr>
      <vt:lpstr>'สผส-ป เงินกัน '!Print_Area</vt:lpstr>
      <vt:lpstr>'สผส-จ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walaiphon mankhong</cp:lastModifiedBy>
  <cp:lastPrinted>2023-10-10T09:13:36Z</cp:lastPrinted>
  <dcterms:created xsi:type="dcterms:W3CDTF">2022-11-15T03:12:02Z</dcterms:created>
  <dcterms:modified xsi:type="dcterms:W3CDTF">2024-04-25T07:18:25Z</dcterms:modified>
</cp:coreProperties>
</file>